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00" yWindow="65456" windowWidth="13660" windowHeight="12080" tabRatio="743" activeTab="0"/>
  </bookViews>
  <sheets>
    <sheet name="Eckwerte" sheetId="1" r:id="rId1"/>
    <sheet name="Nachfrage" sheetId="2" r:id="rId2"/>
    <sheet name="Einsatzplan_Vorlage" sheetId="3" r:id="rId3"/>
    <sheet name="Einsatzplan_Standort_A" sheetId="4" r:id="rId4"/>
    <sheet name="Einsatzplan_Standort_B" sheetId="5" r:id="rId5"/>
    <sheet name="Einsatzplan_Standort_C" sheetId="6" r:id="rId6"/>
    <sheet name="Einsatzplan_Standort_D" sheetId="7" r:id="rId7"/>
    <sheet name="Einsatzplan_Ferien" sheetId="8" r:id="rId8"/>
    <sheet name="Arbeitszeit_Löhne" sheetId="9" r:id="rId9"/>
    <sheet name="Elternbeiträge" sheetId="10" r:id="rId10"/>
    <sheet name="Budget" sheetId="11" r:id="rId11"/>
  </sheets>
  <definedNames/>
  <calcPr fullCalcOnLoad="1"/>
</workbook>
</file>

<file path=xl/comments10.xml><?xml version="1.0" encoding="utf-8"?>
<comments xmlns="http://schemas.openxmlformats.org/spreadsheetml/2006/main">
  <authors>
    <author>Markus Mauchle</author>
  </authors>
  <commentList>
    <comment ref="M14" authorId="0">
      <text>
        <r>
          <rPr>
            <sz val="9"/>
            <rFont val="Geneva"/>
            <family val="0"/>
          </rPr>
          <t>Wir empfehlen, eine Untergrenze für die Elternbeiträge festzulegen, in diesem Beispiel, kosten eine Betreuungseinheit mindestens 6 Franken.</t>
        </r>
      </text>
    </comment>
    <comment ref="J34" authorId="0">
      <text>
        <r>
          <rPr>
            <sz val="9"/>
            <rFont val="Geneva"/>
            <family val="0"/>
          </rPr>
          <t>Geht man davon aus, dass die Mehrheit der Haushalte aus 4 Personen besteht und dass diese durchschnittlich 65'000 bis 70'000 Franken versteuern, liegt der durchschnittliche Ertrag pro Betreuungstag bei 21 Franken.</t>
        </r>
      </text>
    </comment>
    <comment ref="A4" authorId="0">
      <text>
        <r>
          <rPr>
            <sz val="9"/>
            <rFont val="Geneva"/>
            <family val="0"/>
          </rPr>
          <t>Wir verwenden hier als Grundlage das Beitragsreglement von Meilen ZH
(im Handbuch genauer beschrieben)</t>
        </r>
      </text>
    </comment>
  </commentList>
</comments>
</file>

<file path=xl/comments11.xml><?xml version="1.0" encoding="utf-8"?>
<comments xmlns="http://schemas.openxmlformats.org/spreadsheetml/2006/main">
  <authors>
    <author>Markus Mauchle</author>
  </authors>
  <commentList>
    <comment ref="F37" authorId="0">
      <text>
        <r>
          <rPr>
            <sz val="9"/>
            <rFont val="Geneva"/>
            <family val="0"/>
          </rPr>
          <t>Erziehungsdirektion des Kantons Zürich: Richtlinien über die Bewilligung von Kinderkrippen vom 30. Juni 1998:
"Ausser den üblichen Nebenräumen wie Küche, WC, Büro usw. stehen pro Gruppe (10 Kinder) insgesamt rund 60 m2 zur Verfügung."
Die Ferienbetreuung wird in einem oder mehreren der Standorte der Tagesschulen angeboten. Deshalb gibt es hier keine zusätzlichen Raumkosten.</t>
        </r>
      </text>
    </comment>
    <comment ref="A47" authorId="0">
      <text>
        <r>
          <rPr>
            <sz val="9"/>
            <rFont val="Geneva"/>
            <family val="0"/>
          </rPr>
          <t>Dritte können sein: Bund (Anstossfinanzierung), private Sponsoren usw.</t>
        </r>
      </text>
    </comment>
    <comment ref="G58" authorId="0">
      <text>
        <r>
          <rPr>
            <sz val="9"/>
            <rFont val="Geneva"/>
            <family val="0"/>
          </rPr>
          <t>Die Zahlen zeigen, wie sehr die Effizienz durch eine optimale Auslastung gesteigert werden kann. Man bedenke, dass es sich hier um ein Budget für das erste Betriebsjahr handelt.
Die Trägerschaft muss sich unbedingt darauf vorbereiten, dass erst nach zwei bis drei Betriebsjahren eine befriedigende Auslastung und damit vertretbare Kosten pro belegtem Platz erreicht werden.</t>
        </r>
      </text>
    </comment>
  </commentList>
</comments>
</file>

<file path=xl/comments2.xml><?xml version="1.0" encoding="utf-8"?>
<comments xmlns="http://schemas.openxmlformats.org/spreadsheetml/2006/main">
  <authors>
    <author>Markus Mauchle</author>
  </authors>
  <commentList>
    <comment ref="C8" authorId="0">
      <text>
        <r>
          <rPr>
            <sz val="9"/>
            <rFont val="Geneva"/>
            <family val="0"/>
          </rPr>
          <t>In diesen Zellen werden die Ergebnisse der Bedarfsabklärung eingetragen.
VM: Vormittag: In der Regel handelt es sich hier um die Auffangzeit vor Unterrichtsbeginn.
M: Mittagstisch
NM: Nachmittag</t>
        </r>
      </text>
    </comment>
    <comment ref="B9" authorId="0">
      <text>
        <r>
          <rPr>
            <sz val="9"/>
            <rFont val="Geneva"/>
            <family val="0"/>
          </rPr>
          <t>Die Erfahrungen zeigen, dass nur ein Teil der Eltern, welche in einer Bedürfnisabklärung einen Bedarf angeben, ihre Kinder auf den Start der Tagesschule hin auch tatsächlich anmelden. Im Laufe der Jahre nähert sich die effektive der deklarierten Nachfrage an.</t>
        </r>
      </text>
    </comment>
  </commentList>
</comments>
</file>

<file path=xl/comments3.xml><?xml version="1.0" encoding="utf-8"?>
<comments xmlns="http://schemas.openxmlformats.org/spreadsheetml/2006/main">
  <authors>
    <author>Markus Mauchle</author>
  </authors>
  <commentList>
    <comment ref="A10" authorId="0">
      <text>
        <r>
          <rPr>
            <sz val="9"/>
            <rFont val="Geneva"/>
            <family val="0"/>
          </rPr>
          <t>Hier werden die einzelnen Betreuungseinheiten eingetragen und zwar zunächst im Hinblick auf den Einsatzplan für die Betreuungspersonen. Im vorliegenden Beispiel sind es 5 Betreuungseinheiten mit einem Unterrichtsblock dazwischen.
Selbstverständlich ist es möglich, die Betreuungseinheiten anders zu verteilen als in diesem Beispiel. Wenn eine Betreuungseinheit nicht benötigt wird setzt man die Endzeit gleich der Startzeit. Bei den Einsatzplänen der Standorte können die nicht benötigten Zeilen ausgeblendet (nicht gelöscht!) werden: Zeile markieren, Menu Format:Zeile:Ausblenden.</t>
        </r>
      </text>
    </comment>
    <comment ref="B11" authorId="0">
      <text>
        <r>
          <rPr>
            <sz val="9"/>
            <rFont val="Geneva"/>
            <family val="0"/>
          </rPr>
          <t xml:space="preserve">Hier werden die Anfangs- und Endzeiten der jeweiligen Betreuungseinheit eingetragen
</t>
        </r>
      </text>
    </comment>
    <comment ref="T11" authorId="0">
      <text>
        <r>
          <rPr>
            <sz val="9"/>
            <rFont val="Geneva"/>
            <family val="0"/>
          </rPr>
          <t>Hier wird die Gewichtung der Betreuungseinheit eingetragen. Diese wird sowohl für die Berechnung der Belegung als auch für die Berechnung der Elternbeiträge als Grundlage verwendet.
Die Summe der Gewichtung beträgt 100 %.</t>
        </r>
      </text>
    </comment>
  </commentList>
</comments>
</file>

<file path=xl/comments4.xml><?xml version="1.0" encoding="utf-8"?>
<comments xmlns="http://schemas.openxmlformats.org/spreadsheetml/2006/main">
  <authors>
    <author>Markus Mauchle</author>
  </authors>
  <commentList>
    <comment ref="T18" authorId="0">
      <text>
        <r>
          <rPr>
            <sz val="9"/>
            <rFont val="Geneva"/>
            <family val="0"/>
          </rPr>
          <t>Wochenstunden der qualifizierten Betreuungsperson(en)</t>
        </r>
      </text>
    </comment>
    <comment ref="T19" authorId="0">
      <text>
        <r>
          <rPr>
            <sz val="9"/>
            <rFont val="Geneva"/>
            <family val="0"/>
          </rPr>
          <t>Wochenstunden der pädagogisch geeigneten Betreuungsperson(en)</t>
        </r>
      </text>
    </comment>
    <comment ref="T20" authorId="0">
      <text>
        <r>
          <rPr>
            <sz val="9"/>
            <rFont val="Geneva"/>
            <family val="0"/>
          </rPr>
          <t>Durchschnittliche Anzahl der belegten Betreuungsplätze. Die Zahl wird übertragen in das Feld F6</t>
        </r>
      </text>
    </comment>
    <comment ref="T21" authorId="0">
      <text>
        <r>
          <rPr>
            <sz val="9"/>
            <rFont val="Geneva"/>
            <family val="0"/>
          </rPr>
          <t>Anzahl Mittagessen pro Woche</t>
        </r>
      </text>
    </comment>
    <comment ref="P5" authorId="0">
      <text>
        <r>
          <rPr>
            <sz val="9"/>
            <rFont val="Geneva"/>
            <family val="0"/>
          </rPr>
          <t>Die Zahl der benötigten Betreuungspersonen muss aus dem Einsatzplan abgeleitet werden.</t>
        </r>
      </text>
    </comment>
    <comment ref="F13" authorId="0">
      <text>
        <r>
          <rPr>
            <sz val="9"/>
            <rFont val="Geneva"/>
            <family val="0"/>
          </rPr>
          <t xml:space="preserve">Nachdem die Zahl der Kinder geschätzt ist, trägt man die Zahl der benötigten Betreuungspersonen ein. Für die Berechnung beziehen wir uns auf die "Verordnung über die Angebote zur sozialen Integration" (VASI) im Kanton Bern (tritt am 1. August 2005 in Kraft):
"Art. 28 Abs.1:  Für Kinder ab dem vollendeten vierten Altersjahr darf das Betreuungsverhältnis von zehn bis zwölf Betreuungsplätzen zu einer Betreuungsperson in der Regel nicht unterschritten werden.
Abs. 2: In Kindergruppen (= 10 bis 12 Kinder)  mit Kindern ab dem vollendeten vierten Altersjahr verfügt mindestens eine der anwesenden Betreuungspersonen über eine Ausbildung [...]". </t>
        </r>
      </text>
    </comment>
    <comment ref="E11" authorId="0">
      <text>
        <r>
          <rPr>
            <sz val="9"/>
            <rFont val="Geneva"/>
            <family val="0"/>
          </rPr>
          <t>Die erwartete Nachfrage (Anzahl Kinder) wird von der Bedarfserhebung abgeleitet. Sie kann von Hand eingetragen werden oder - wie hier - durch eine Formel mit dem Blatt "Nachfrage" verknüpft werden.
"Vormittag 1" und "Vormittag 2" nehmen beide auf das gleiche Feld Bezug. Ebenso wird für "Nachmittag 1" und "Nachmittag 2" dieselbe Zahl eingesetzt.</t>
        </r>
      </text>
    </comment>
    <comment ref="C5" authorId="0">
      <text>
        <r>
          <rPr>
            <sz val="9"/>
            <rFont val="Geneva"/>
            <family val="0"/>
          </rPr>
          <t>Bei der Anzahl der Plätze handelt es sich um die maximale Zahl der Kinder, auf die das Angebot ausgerichtet ist.</t>
        </r>
      </text>
    </comment>
    <comment ref="E20" authorId="0">
      <text>
        <r>
          <rPr>
            <sz val="9"/>
            <rFont val="Geneva"/>
            <family val="0"/>
          </rPr>
          <t>Zur Berechnung der Belegung wird die Zahl der Kinder einer Betreuungseinheit mit der Gewichtung dieser Betreuungseinheit multipliziert. Die so errechneten gewichteten Belegungen der einzelnen Betreuungseinheiten werden zusammengezählt.</t>
        </r>
      </text>
    </comment>
  </commentList>
</comments>
</file>

<file path=xl/comments5.xml><?xml version="1.0" encoding="utf-8"?>
<comments xmlns="http://schemas.openxmlformats.org/spreadsheetml/2006/main">
  <authors>
    <author>Markus Mauchle</author>
  </authors>
  <commentList>
    <comment ref="C5" authorId="0">
      <text>
        <r>
          <rPr>
            <sz val="9"/>
            <rFont val="Geneva"/>
            <family val="0"/>
          </rPr>
          <t>Die Bedürfnisabklärung ergab eine sehr niedrige Nachfrag für den Standort B. Die Kapazität wird trotzdem bei 10 Plätzen festgelegt, weil auf jeden Fall mindestens eine Betreuungsperson anwesend sein muss und diese ja auch 10 Kinder betreuen könnte.
Natürlich muss man sich in so einem Fall überlegen, ob man das Angebot überhaupt einführen soll. Allein aufgrund der Bedürfnisabklärung lässt sich ein solcher Entscheid jedoch nicht fällen.
Die Erfahrungen an andern Orten zeigen, dass die Nachfrage in den ersten Jahren stark ansteigt.</t>
        </r>
      </text>
    </comment>
    <comment ref="A4" authorId="0">
      <text>
        <r>
          <rPr>
            <sz val="9"/>
            <rFont val="Geneva"/>
            <family val="0"/>
          </rPr>
          <t>Kommentare siehe Blatt "Einsatzplan_Standort_A"</t>
        </r>
      </text>
    </comment>
  </commentList>
</comments>
</file>

<file path=xl/comments6.xml><?xml version="1.0" encoding="utf-8"?>
<comments xmlns="http://schemas.openxmlformats.org/spreadsheetml/2006/main">
  <authors>
    <author>Markus Mauchle</author>
  </authors>
  <commentList>
    <comment ref="A4" authorId="0">
      <text>
        <r>
          <rPr>
            <sz val="9"/>
            <rFont val="Geneva"/>
            <family val="0"/>
          </rPr>
          <t>Kommentare siehe Blatt "Einsatzplan_Standort_A"</t>
        </r>
      </text>
    </comment>
  </commentList>
</comments>
</file>

<file path=xl/comments7.xml><?xml version="1.0" encoding="utf-8"?>
<comments xmlns="http://schemas.openxmlformats.org/spreadsheetml/2006/main">
  <authors>
    <author>Markus Mauchle</author>
  </authors>
  <commentList>
    <comment ref="A4" authorId="0">
      <text>
        <r>
          <rPr>
            <sz val="9"/>
            <rFont val="Geneva"/>
            <family val="0"/>
          </rPr>
          <t>Kommentare siehe Blatt "Einsatzplan_Standort_A"</t>
        </r>
      </text>
    </comment>
  </commentList>
</comments>
</file>

<file path=xl/comments8.xml><?xml version="1.0" encoding="utf-8"?>
<comments xmlns="http://schemas.openxmlformats.org/spreadsheetml/2006/main">
  <authors>
    <author>Markus Mauchle</author>
  </authors>
  <commentList>
    <comment ref="T10" authorId="0">
      <text>
        <r>
          <rPr>
            <sz val="9"/>
            <rFont val="Geneva"/>
            <family val="0"/>
          </rPr>
          <t>Bevor man die Betreuungseinheiten und deren Gewichtung für die Ferienzeit festlegt, muss man sich das Konzept der Ferienangebote überlegen. Oft werden Tagesausflüge, Sportkurse und ähnliches angeboten. In diesem Fall macht es wenig Sinn, den Tag in einzelne Betreuungseinheiten einzuteilen.</t>
        </r>
      </text>
    </comment>
  </commentList>
</comments>
</file>

<file path=xl/comments9.xml><?xml version="1.0" encoding="utf-8"?>
<comments xmlns="http://schemas.openxmlformats.org/spreadsheetml/2006/main">
  <authors>
    <author>Markus Mauchle</author>
  </authors>
  <commentList>
    <comment ref="F36" authorId="0">
      <text>
        <r>
          <rPr>
            <sz val="9"/>
            <rFont val="Geneva"/>
            <family val="0"/>
          </rPr>
          <t>Hertrag vom Blatt "Budget"</t>
        </r>
      </text>
    </comment>
    <comment ref="F37" authorId="0">
      <text>
        <r>
          <rPr>
            <sz val="9"/>
            <rFont val="Geneva"/>
            <family val="0"/>
          </rPr>
          <t>Die Gesamtzahl der Stellenprozente für die Gesamtleitung (Blatt "Konstanten") wird aufgrund der angebotenen Betreuungstage verteilt.</t>
        </r>
      </text>
    </comment>
  </commentList>
</comments>
</file>

<file path=xl/sharedStrings.xml><?xml version="1.0" encoding="utf-8"?>
<sst xmlns="http://schemas.openxmlformats.org/spreadsheetml/2006/main" count="359" uniqueCount="180">
  <si>
    <t>Erwartete Nachfrage aufgrund der Bedarfsabklärung</t>
  </si>
  <si>
    <t>Pensum der Betreuungspersonen</t>
  </si>
  <si>
    <t>Öffnungstage (t)</t>
  </si>
  <si>
    <t>Standort C Bedarfsabklärung</t>
  </si>
  <si>
    <t>Standort D Bedarfsabklärung</t>
  </si>
  <si>
    <t>Ferienbetreuung ganzer Tag</t>
  </si>
  <si>
    <t>7.30 - 18.00</t>
  </si>
  <si>
    <t>angenommene Arbeitsausfälle wegen Absenzen (in Prozent der gesamten Lohnsumme)</t>
  </si>
  <si>
    <t>Zusätzliche Betreuungszeit, die geleistet werden muss wenn die Schule ausfällt (in Prozent der Arbeitszeit)</t>
  </si>
  <si>
    <t>Zusatzkosten für Qualitätssicherung (in Prozent der Lohnsumme)</t>
  </si>
  <si>
    <t>durchschnittlicher Arbeitgeberbeitrag für Sozialversicherungen</t>
  </si>
  <si>
    <t>Leitung, Administration, Buchhaltung</t>
  </si>
  <si>
    <t>Stellenprozent (Anteil pro Standort)</t>
  </si>
  <si>
    <t>Büroaufwand pro Betreuungsplatz (Telefon, Porti, Kopierkosten etc.)</t>
  </si>
  <si>
    <t>Verbrauchsmaterial</t>
  </si>
  <si>
    <t>Anzahl Kinder</t>
  </si>
  <si>
    <t>Belegung</t>
  </si>
  <si>
    <t>erwartet Belegung</t>
  </si>
  <si>
    <t>Auslastung in Prozent</t>
  </si>
  <si>
    <t>Bruttolohn</t>
  </si>
  <si>
    <t>Pädagogisch geeignete Betreuungsperson</t>
  </si>
  <si>
    <t>Jahreslohn 100 %</t>
  </si>
  <si>
    <t>Anzahl Mittagessen pro Woche</t>
  </si>
  <si>
    <t>Belegung in Prozent</t>
  </si>
  <si>
    <t>Kosten für Zwischenverpflegung und Frühstück pro Kind und Tag</t>
  </si>
  <si>
    <t>Anzahl Plätze</t>
  </si>
  <si>
    <t>qualifizierte Betreuungsperson</t>
  </si>
  <si>
    <t>Anzahl MitarbeiterInnen</t>
  </si>
  <si>
    <t>Standort C: Einsatzplan für Betreuungspersonen</t>
  </si>
  <si>
    <t>Standort D: Einsatzplan für Betreuungspersonen</t>
  </si>
  <si>
    <t>Summe der Gewichtung</t>
  </si>
  <si>
    <t>Nachmittag mit Mittagessen</t>
  </si>
  <si>
    <t>Nur Mittagstisch</t>
  </si>
  <si>
    <t>Qualifizierte Betreuungsperson</t>
  </si>
  <si>
    <t>Erwartete Nachfrage im 3. Jahr</t>
  </si>
  <si>
    <t>Erwartete Nachfrage im 1. Jahr</t>
  </si>
  <si>
    <t>angebotene Betreuungstage (p x t)</t>
  </si>
  <si>
    <t>geleistete Betreuungstage (b x t)</t>
  </si>
  <si>
    <t>Zeiten der Betreuungseinheit</t>
  </si>
  <si>
    <t>Belegungsprozent</t>
  </si>
  <si>
    <t>Budget freiwillige Tagesschule</t>
  </si>
  <si>
    <t>Jahreslohn Gesamtleitung (100 %)</t>
  </si>
  <si>
    <t>Sollarbeitszeit</t>
  </si>
  <si>
    <t>Position</t>
  </si>
  <si>
    <t>Wert</t>
  </si>
  <si>
    <t>Kosten pro bereitgestelltem Platz</t>
  </si>
  <si>
    <t>Ertrag</t>
  </si>
  <si>
    <t>Einnahmen aus Elternbeiträgen</t>
  </si>
  <si>
    <t>Total Ertrag</t>
  </si>
  <si>
    <t>Summe der Gewichtungen</t>
  </si>
  <si>
    <t>Bruttojahreslohn pädagogisch geeignete Mitarbeiterin/geeigneter Mitarbeiter</t>
  </si>
  <si>
    <t>Wochenstunden für Leitungsaufgaben und Administration für die Standortleitung</t>
  </si>
  <si>
    <t>Personalkosten Total</t>
  </si>
  <si>
    <t>Mittagessen</t>
  </si>
  <si>
    <t>Hauswartung, Reinigung</t>
  </si>
  <si>
    <t>Verpflegung</t>
  </si>
  <si>
    <t>Personalkosten</t>
  </si>
  <si>
    <t>Vormittag</t>
  </si>
  <si>
    <t>Nachmittag 2</t>
  </si>
  <si>
    <t>Raum total</t>
  </si>
  <si>
    <t>Jahresarbeitszeit</t>
  </si>
  <si>
    <t>Absenzen</t>
  </si>
  <si>
    <t>VM</t>
  </si>
  <si>
    <t>M</t>
  </si>
  <si>
    <t>NM</t>
  </si>
  <si>
    <t>Jahresarbeitszeit total</t>
  </si>
  <si>
    <t>Anzahl Plätze (p)</t>
  </si>
  <si>
    <t>Betriebsjahr</t>
  </si>
  <si>
    <t>Standort C</t>
  </si>
  <si>
    <t>Standort D</t>
  </si>
  <si>
    <t>Ferienangebot</t>
  </si>
  <si>
    <t>Arbeitsstunden pädagogisch geeignete Person</t>
  </si>
  <si>
    <t>Kosten für ein Mittagessen</t>
  </si>
  <si>
    <t>Ferienbetreuung</t>
  </si>
  <si>
    <t>Vorlage: Einsatzplan für Betreuungspersonen</t>
  </si>
  <si>
    <t>Nachmittag 1</t>
  </si>
  <si>
    <t>6+</t>
  </si>
  <si>
    <t>Ganzer Tag mit Auffangzeiten Morgen</t>
  </si>
  <si>
    <t>Ganzer Tag ohne Auffangzeiten Morgen</t>
  </si>
  <si>
    <t>Verbrauchsmaterial: Beitrag pro Betreuungsplatz</t>
  </si>
  <si>
    <t>Aufwand</t>
  </si>
  <si>
    <t>Summe</t>
  </si>
  <si>
    <t>Sommerferien</t>
  </si>
  <si>
    <t>Herbsferien</t>
  </si>
  <si>
    <t>Sportferien</t>
  </si>
  <si>
    <t>Frühling</t>
  </si>
  <si>
    <t>Durchschnitt</t>
  </si>
  <si>
    <t>gewichtet</t>
  </si>
  <si>
    <t>Anzahl Wochen geöffnet</t>
  </si>
  <si>
    <t>Bruttolohn Hilfspersonal</t>
  </si>
  <si>
    <t>Total Bruttolöhne</t>
  </si>
  <si>
    <t>pro Woche</t>
  </si>
  <si>
    <t>pädagogisch geeignete Person</t>
  </si>
  <si>
    <t>Pensum</t>
  </si>
  <si>
    <t>Durchschnittliche Sollarbeitszeit abzüglich Ferien und Feiertage</t>
  </si>
  <si>
    <t>Standort A</t>
  </si>
  <si>
    <t>Standort B</t>
  </si>
  <si>
    <t>Schulwochen pro Jahr</t>
  </si>
  <si>
    <t>Anzahl pädagogisch geeignete Betreuungspersonen</t>
  </si>
  <si>
    <t>Raumkosten</t>
  </si>
  <si>
    <t>Kennziffern</t>
  </si>
  <si>
    <t>Frühstück und Zwischenverpflegung</t>
  </si>
  <si>
    <t>Wochenstunden für das Personal bei 100% Anstellung</t>
  </si>
  <si>
    <t>Anzahl Ferienwochen pro Jahr</t>
  </si>
  <si>
    <t>Durchschnittliche Zahl der Feiertage pro Jahr</t>
  </si>
  <si>
    <t>Durchschnittlicher Elternbeitrag Ferienbetreuung</t>
  </si>
  <si>
    <t>Anteil an den Kosten</t>
  </si>
  <si>
    <t>Sitzungen, Leitungsaufgaben, Administration (Stunden)</t>
  </si>
  <si>
    <t>Zusätzliche Betreuungsstunden an schulfreien Tagen</t>
  </si>
  <si>
    <t>Arbeitsstunden für Sitzungen pro Woche</t>
  </si>
  <si>
    <t>Bruttolohn pädagogisch geeignete Betreuungsperson</t>
  </si>
  <si>
    <t>Qualitätssicherung</t>
  </si>
  <si>
    <t>Anzahl Ferienwochen, während denen Betreuung angeboten wird</t>
  </si>
  <si>
    <t>Wochen geöffnet</t>
  </si>
  <si>
    <t>Deckungsbeitrag der Gemeinde</t>
  </si>
  <si>
    <t>Beiträge Dritter</t>
  </si>
  <si>
    <t>Standort A Bedarfsabklärung</t>
  </si>
  <si>
    <t>Standort B Bedarfsabklärung</t>
  </si>
  <si>
    <t>Blockzeiten Schule</t>
  </si>
  <si>
    <t>Betreuungseinheit</t>
  </si>
  <si>
    <t>Schnitt</t>
  </si>
  <si>
    <t>Anzahl qualifizierte Betreuungspersonen</t>
  </si>
  <si>
    <t>Elternbeitrag pro Einheit (Haushaltsgrösse 4)</t>
  </si>
  <si>
    <t>-</t>
  </si>
  <si>
    <t>Reduktion für Haushaltsgrösse</t>
  </si>
  <si>
    <t>erwartete Belegung (b)</t>
  </si>
  <si>
    <t>Anzahl Tage mit ausserordentlichen Schulausfällen pro Jahr (Lehrerweiterbildung usw.)</t>
  </si>
  <si>
    <t>Standort A: Einsatzplan für Betreuungspersonen</t>
  </si>
  <si>
    <t>Gewichtung der Betreuungseinheit</t>
  </si>
  <si>
    <t>Ferien-angebot</t>
  </si>
  <si>
    <t>Vormittag 1</t>
  </si>
  <si>
    <t>Vormittag 2</t>
  </si>
  <si>
    <t>Resultate der Bedarfsabklärung</t>
  </si>
  <si>
    <t>Kosten pro belegtem Platz</t>
  </si>
  <si>
    <t>Bruttojahreslohn ausgebildete Betreuungsperson 100 %</t>
  </si>
  <si>
    <t>Wöchentliche Sitzungszeit für pädagogisch geeignete Betreuungspersonen</t>
  </si>
  <si>
    <t>Angebotene Betreuungseinheiten</t>
  </si>
  <si>
    <t>Bruttolohn Gesamtleitung</t>
  </si>
  <si>
    <t>erwartet Belegung im 1. Jahr</t>
  </si>
  <si>
    <t>Arbeitsstunden qualifizierte Betreuungsperson</t>
  </si>
  <si>
    <t>Standort B: Einsatzplan für Betreuungspersonen</t>
  </si>
  <si>
    <t>Leistungsdaten</t>
  </si>
  <si>
    <t>Schulferien</t>
  </si>
  <si>
    <t>diverse Kosten total</t>
  </si>
  <si>
    <t>Montag</t>
  </si>
  <si>
    <t>Dienstag</t>
  </si>
  <si>
    <t>Mittwoch</t>
  </si>
  <si>
    <t>Donnerstag</t>
  </si>
  <si>
    <t>Freitag</t>
  </si>
  <si>
    <t>Elternbeiträge</t>
  </si>
  <si>
    <t>Pensum der Gesamtleitung</t>
  </si>
  <si>
    <t>Bruttolohn ausgebildete Betreuungspersonen</t>
  </si>
  <si>
    <t>Erwartete Nachfrage im 2. Jahr</t>
  </si>
  <si>
    <t>Mittagstisch</t>
  </si>
  <si>
    <t>Stunden dezimal</t>
  </si>
  <si>
    <t>Beginn</t>
  </si>
  <si>
    <t>Ende</t>
  </si>
  <si>
    <t>Anzahl Mittagessen</t>
  </si>
  <si>
    <t>Angebotene Betreuungstage</t>
  </si>
  <si>
    <t>Arbeitszeit und Lohnkosten</t>
  </si>
  <si>
    <t>Wochenarbeitszeit inkl. Sitzungen (Stunden)</t>
  </si>
  <si>
    <t>Wochenarbeitszeit für Betreuung (Stunden)</t>
  </si>
  <si>
    <t>Bruttolohn bei 100 % (CHF)</t>
  </si>
  <si>
    <t>Bruttolohn qualifizierte Betreuungsperson (CHF)</t>
  </si>
  <si>
    <t>Massgebendes Einkommen</t>
  </si>
  <si>
    <t>Bürokosten</t>
  </si>
  <si>
    <t>diverse Kosten</t>
  </si>
  <si>
    <t>Total Kosten</t>
  </si>
  <si>
    <t>Verpflegung total</t>
  </si>
  <si>
    <t>7.00 - 18.00</t>
  </si>
  <si>
    <t>10.00 - 18.00</t>
  </si>
  <si>
    <t>11.30 - 13.30</t>
  </si>
  <si>
    <t>Vormittag mit Mittagessen ohne Morgen</t>
  </si>
  <si>
    <t>Sozialversicherungen</t>
  </si>
  <si>
    <t>Eckwerte für die Budgetierung</t>
  </si>
  <si>
    <t>Raumkosten pro Quadratmeter</t>
  </si>
  <si>
    <t>Fläche (Quadratmeter)</t>
  </si>
  <si>
    <t>Geschätzter durchschnittlicher Elternbeitrag pro Tag</t>
  </si>
  <si>
    <t>10:00 - 13.30</t>
  </si>
  <si>
    <t>11.30 - 18.00</t>
  </si>
</sst>
</file>

<file path=xl/styles.xml><?xml version="1.0" encoding="utf-8"?>
<styleSheet xmlns="http://schemas.openxmlformats.org/spreadsheetml/2006/main">
  <numFmts count="75">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quot;CHF&quot;* #,##0.00_-;\-&quot;CHF&quot;* #,##0.00_-;_-&quot;CHF&quot;* &quot;-&quot;??_-;_-@_-"/>
    <numFmt numFmtId="170" formatCode="&quot;Fr &quot;#,##0;\-&quot;Fr &quot;#,##0"/>
    <numFmt numFmtId="171" formatCode="&quot;Fr &quot;#,##0;[Red]\-&quot;Fr &quot;#,##0"/>
    <numFmt numFmtId="172" formatCode="&quot;Fr &quot;#,##0.00;\-&quot;Fr &quot;#,##0.00"/>
    <numFmt numFmtId="173" formatCode="&quot;Fr &quot;#,##0.00;[Red]\-&quot;Fr &quot;#,##0.00"/>
    <numFmt numFmtId="174" formatCode="_-&quot;Fr &quot;* #,##0_-;\-&quot;Fr &quot;* #,##0_-;_-&quot;Fr &quot;* &quot;-&quot;_-;_-@_-"/>
    <numFmt numFmtId="175" formatCode="_-&quot;Fr &quot;* #,##0.00_-;\-&quot;Fr &quot;* #,##0.00_-;_-&quot;Fr &quot;* &quot;-&quot;??_-;_-@_-"/>
    <numFmt numFmtId="176" formatCode="0.0"/>
    <numFmt numFmtId="177" formatCode="#,##0.0"/>
    <numFmt numFmtId="178" formatCode="0.0000"/>
    <numFmt numFmtId="179" formatCode="0.000"/>
    <numFmt numFmtId="180" formatCode="0.00000"/>
    <numFmt numFmtId="181" formatCode="0.0000000"/>
    <numFmt numFmtId="182" formatCode="0.000000"/>
    <numFmt numFmtId="183" formatCode="&quot;Fr &quot;#,##0.00"/>
    <numFmt numFmtId="184" formatCode="&quot;SFr.&quot;\ #,##0;&quot;SFr.&quot;\ \-#,##0"/>
    <numFmt numFmtId="185" formatCode="&quot;SFr.&quot;\ #,##0;[Red]&quot;SFr.&quot;\ \-#,##0"/>
    <numFmt numFmtId="186" formatCode="&quot;SFr.&quot;\ #,##0.00;&quot;SFr.&quot;\ \-#,##0.00"/>
    <numFmt numFmtId="187" formatCode="&quot;SFr.&quot;\ #,##0.00;[Red]&quot;SFr.&quot;\ \-#,##0.00"/>
    <numFmt numFmtId="188" formatCode="_ &quot;SFr.&quot;\ * #,##0_ ;_ &quot;SFr.&quot;\ * \-#,##0_ ;_ &quot;SFr.&quot;\ * &quot;-&quot;_ ;_ @_ "/>
    <numFmt numFmtId="189" formatCode="_ * #,##0_ ;_ * \-#,##0_ ;_ * &quot;-&quot;_ ;_ @_ "/>
    <numFmt numFmtId="190" formatCode="_ &quot;SFr.&quot;\ * #,##0.00_ ;_ &quot;SFr.&quot;\ * \-#,##0.00_ ;_ &quot;SFr.&quot;\ * &quot;-&quot;??_ ;_ @_ "/>
    <numFmt numFmtId="191" formatCode="_ * #,##0.00_ ;_ * \-#,##0.00_ ;_ * &quot;-&quot;??_ ;_ @_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SFr.&quot;\ #,##0"/>
    <numFmt numFmtId="201" formatCode="\F\r.\ * ###0.00"/>
    <numFmt numFmtId="202" formatCode="\F\r.\ *###0.00"/>
    <numFmt numFmtId="203" formatCode="&quot;SFr.&quot;\ #,##0.00"/>
    <numFmt numFmtId="204" formatCode="&quot;SFr.&quot;\ \ \ \ \ \ \ \ \ \ * #,##0.00"/>
    <numFmt numFmtId="205" formatCode="\F\r.* ####0.00"/>
    <numFmt numFmtId="206" formatCode="_F\r.\ * ####0.00"/>
    <numFmt numFmtId="207" formatCode="_ &quot;Fr.&quot;\ * ####0.00"/>
    <numFmt numFmtId="208" formatCode="&quot;Fr.&quot;\ * ####0.00"/>
    <numFmt numFmtId="209" formatCode="&quot;Fr.&quot;\ * ####0"/>
    <numFmt numFmtId="210" formatCode="&quot;Fr.&quot;\ * ##,##0"/>
    <numFmt numFmtId="211" formatCode="0.00\ &quot;Std.&quot;"/>
    <numFmt numFmtId="212" formatCode="0.00\ &quot;h&quot;"/>
    <numFmt numFmtId="213" formatCode="0.0%"/>
    <numFmt numFmtId="214" formatCode="#,##0.000"/>
    <numFmt numFmtId="215" formatCode="&quot;CHF&quot;#,##0"/>
    <numFmt numFmtId="216" formatCode="#,##0_ ;\-#,##0\ "/>
    <numFmt numFmtId="217" formatCode="&quot;CHF&quot;#,##0.00"/>
    <numFmt numFmtId="218" formatCode="&quot;CHF&quot;#,###,##0.00;[Red]\-&quot;CHF&quot;#,##0.00"/>
    <numFmt numFmtId="219" formatCode="&quot;CHF&quot;\ #,###,##0.00;[Red]\-&quot;CHF&quot;#,##0.00"/>
    <numFmt numFmtId="220" formatCode="&quot;CHF&quot;\ *#\ ###,##0.00;[Red]\-&quot;CHF&quot;#,##0.00"/>
    <numFmt numFmtId="221" formatCode="&quot;CHF&quot;* * #,###,##0.00;[Red]\-&quot;CHF&quot;#,##0.00"/>
    <numFmt numFmtId="222" formatCode="&quot;CHF&quot;* #,###,##0.00;[Red]\-&quot;CHF&quot;#,##0.00"/>
    <numFmt numFmtId="223" formatCode="&quot;CHF&quot;* #,##0.00;[Red]\-&quot;CHF&quot;#,##0.00"/>
    <numFmt numFmtId="224" formatCode="&quot;CHF&quot;* ##0.00;[Red]\-&quot;CHF&quot;#,##0.00"/>
    <numFmt numFmtId="225" formatCode="&quot;CHF&quot;* #,##0.0;[Red]\-&quot;CHF&quot;#,##0.0"/>
    <numFmt numFmtId="226" formatCode="&quot;CHF&quot;* #,##0;[Red]\-&quot;CHF&quot;#,##0"/>
    <numFmt numFmtId="227" formatCode="&quot;CHF&quot;* #,##0.00;\-&quot;CHF&quot;#,##0.00"/>
    <numFmt numFmtId="228" formatCode="&quot;CHF&quot;* #,##0.0;\-&quot;CHF&quot;#,##0.0"/>
    <numFmt numFmtId="229" formatCode="&quot;CHF&quot;* #,##0;\-&quot;CHF&quot;#,##0"/>
    <numFmt numFmtId="230" formatCode="0.000%"/>
  </numFmts>
  <fonts count="14">
    <font>
      <sz val="9"/>
      <name val="Geneva"/>
      <family val="0"/>
    </font>
    <font>
      <b/>
      <sz val="9"/>
      <name val="Geneva"/>
      <family val="0"/>
    </font>
    <font>
      <i/>
      <sz val="9"/>
      <name val="Geneva"/>
      <family val="0"/>
    </font>
    <font>
      <b/>
      <i/>
      <sz val="9"/>
      <name val="Geneva"/>
      <family val="0"/>
    </font>
    <font>
      <sz val="8"/>
      <name val="Geneva"/>
      <family val="0"/>
    </font>
    <font>
      <u val="single"/>
      <sz val="9"/>
      <color indexed="12"/>
      <name val="Geneva"/>
      <family val="0"/>
    </font>
    <font>
      <u val="single"/>
      <sz val="9"/>
      <color indexed="36"/>
      <name val="Geneva"/>
      <family val="0"/>
    </font>
    <font>
      <u val="single"/>
      <sz val="10"/>
      <color indexed="36"/>
      <name val="Arial"/>
      <family val="0"/>
    </font>
    <font>
      <sz val="10"/>
      <name val="Arial"/>
      <family val="0"/>
    </font>
    <font>
      <u val="single"/>
      <sz val="10"/>
      <color indexed="12"/>
      <name val="Arial"/>
      <family val="0"/>
    </font>
    <font>
      <b/>
      <sz val="10"/>
      <name val="Arial"/>
      <family val="0"/>
    </font>
    <font>
      <b/>
      <sz val="12"/>
      <name val="Arial"/>
      <family val="0"/>
    </font>
    <font>
      <b/>
      <sz val="14"/>
      <color indexed="10"/>
      <name val="Arial"/>
      <family val="0"/>
    </font>
    <font>
      <b/>
      <sz val="8"/>
      <name val="Geneva"/>
      <family val="2"/>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3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style="thin"/>
      <bottom style="thin"/>
    </border>
    <border>
      <left style="thin"/>
      <right style="thin"/>
      <top style="thin"/>
      <bottom>
        <color indexed="63"/>
      </bottom>
    </border>
    <border>
      <left style="thin"/>
      <right>
        <color indexed="63"/>
      </right>
      <top style="hair"/>
      <bottom>
        <color indexed="63"/>
      </bottom>
    </border>
    <border>
      <left style="thin"/>
      <right style="thin"/>
      <top style="hair"/>
      <bottom>
        <color indexed="63"/>
      </bottom>
    </border>
    <border>
      <left style="thin"/>
      <right style="thin"/>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8" fillId="0" borderId="0" applyFont="0" applyFill="0" applyBorder="0" applyAlignment="0" applyProtection="0"/>
    <xf numFmtId="41" fontId="0" fillId="0" borderId="0" applyFont="0" applyFill="0" applyBorder="0" applyAlignment="0" applyProtection="0"/>
    <xf numFmtId="191" fontId="8" fillId="0" borderId="0" applyFont="0" applyFill="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0" fillId="0" borderId="0">
      <alignment/>
      <protection/>
    </xf>
    <xf numFmtId="175" fontId="0" fillId="0" borderId="0" applyFont="0" applyFill="0" applyBorder="0" applyAlignment="0" applyProtection="0"/>
    <xf numFmtId="174" fontId="0" fillId="0" borderId="0" applyFont="0" applyFill="0" applyBorder="0" applyAlignment="0" applyProtection="0"/>
    <xf numFmtId="188" fontId="8" fillId="0" borderId="0" applyFont="0" applyFill="0" applyBorder="0" applyAlignment="0" applyProtection="0"/>
    <xf numFmtId="174" fontId="0" fillId="0" borderId="0" applyFont="0" applyFill="0" applyBorder="0" applyAlignment="0" applyProtection="0"/>
    <xf numFmtId="190" fontId="8" fillId="0" borderId="0" applyFont="0" applyFill="0" applyBorder="0" applyAlignment="0" applyProtection="0"/>
    <xf numFmtId="175" fontId="0" fillId="0" borderId="0" applyFont="0" applyFill="0" applyBorder="0" applyAlignment="0" applyProtection="0"/>
  </cellStyleXfs>
  <cellXfs count="314">
    <xf numFmtId="0" fontId="0" fillId="0" borderId="0" xfId="0" applyAlignment="1">
      <alignment/>
    </xf>
    <xf numFmtId="0" fontId="11" fillId="0" borderId="0" xfId="0" applyFont="1" applyAlignment="1">
      <alignment/>
    </xf>
    <xf numFmtId="0" fontId="8" fillId="0" borderId="0" xfId="0" applyFont="1" applyAlignment="1">
      <alignmen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0" xfId="0" applyFont="1" applyBorder="1" applyAlignment="1">
      <alignment/>
    </xf>
    <xf numFmtId="20" fontId="8" fillId="0" borderId="0" xfId="0" applyNumberFormat="1" applyFont="1" applyBorder="1" applyAlignment="1">
      <alignment/>
    </xf>
    <xf numFmtId="20" fontId="8" fillId="0" borderId="0" xfId="0" applyNumberFormat="1" applyFont="1" applyBorder="1" applyAlignment="1">
      <alignment textRotation="90"/>
    </xf>
    <xf numFmtId="0" fontId="8" fillId="0" borderId="5" xfId="0" applyFont="1" applyBorder="1" applyAlignment="1">
      <alignment/>
    </xf>
    <xf numFmtId="2" fontId="8" fillId="0" borderId="0" xfId="0" applyNumberFormat="1" applyFont="1" applyAlignment="1">
      <alignment/>
    </xf>
    <xf numFmtId="0" fontId="8" fillId="0" borderId="0" xfId="0" applyFont="1" applyAlignment="1">
      <alignment horizontal="right"/>
    </xf>
    <xf numFmtId="0" fontId="8" fillId="0" borderId="0" xfId="0" applyFont="1" applyAlignment="1">
      <alignment wrapText="1"/>
    </xf>
    <xf numFmtId="9" fontId="8" fillId="0" borderId="0" xfId="0" applyNumberFormat="1" applyFont="1" applyAlignment="1">
      <alignment/>
    </xf>
    <xf numFmtId="43" fontId="8" fillId="0" borderId="0" xfId="0" applyNumberFormat="1" applyFont="1" applyAlignment="1">
      <alignment/>
    </xf>
    <xf numFmtId="0" fontId="8" fillId="0" borderId="5" xfId="0" applyFont="1" applyBorder="1" applyAlignment="1">
      <alignment vertical="center"/>
    </xf>
    <xf numFmtId="20" fontId="8" fillId="0" borderId="6" xfId="0" applyNumberFormat="1" applyFont="1" applyBorder="1" applyAlignment="1">
      <alignment vertical="center"/>
    </xf>
    <xf numFmtId="20" fontId="8" fillId="0" borderId="6" xfId="0" applyNumberFormat="1" applyFont="1" applyBorder="1" applyAlignment="1">
      <alignment horizontal="right" vertical="center"/>
    </xf>
    <xf numFmtId="2" fontId="8" fillId="0" borderId="7" xfId="0" applyNumberFormat="1" applyFont="1" applyBorder="1" applyAlignment="1">
      <alignment horizontal="right" vertical="center"/>
    </xf>
    <xf numFmtId="0" fontId="8" fillId="0" borderId="0" xfId="0" applyFont="1" applyAlignment="1">
      <alignment vertical="center"/>
    </xf>
    <xf numFmtId="0" fontId="8" fillId="0" borderId="4" xfId="0" applyFont="1" applyBorder="1" applyAlignment="1">
      <alignment horizontal="center" textRotation="90"/>
    </xf>
    <xf numFmtId="0" fontId="8" fillId="0" borderId="0" xfId="0" applyFont="1" applyBorder="1" applyAlignment="1">
      <alignment horizontal="center" textRotation="90"/>
    </xf>
    <xf numFmtId="0" fontId="8" fillId="0" borderId="8" xfId="0" applyFont="1" applyBorder="1" applyAlignment="1">
      <alignment horizontal="center" textRotation="9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Border="1" applyAlignment="1">
      <alignment vertical="center"/>
    </xf>
    <xf numFmtId="20" fontId="8" fillId="0" borderId="2" xfId="0" applyNumberFormat="1" applyFont="1" applyBorder="1" applyAlignment="1">
      <alignment vertical="center"/>
    </xf>
    <xf numFmtId="20" fontId="8" fillId="0" borderId="2" xfId="0" applyNumberFormat="1" applyFont="1" applyBorder="1" applyAlignment="1">
      <alignment horizontal="right" vertical="center"/>
    </xf>
    <xf numFmtId="2" fontId="8" fillId="0" borderId="3" xfId="0" applyNumberFormat="1" applyFont="1" applyBorder="1" applyAlignment="1">
      <alignment horizontal="right" vertical="center"/>
    </xf>
    <xf numFmtId="0" fontId="8" fillId="0" borderId="4" xfId="0" applyFont="1" applyBorder="1" applyAlignment="1">
      <alignment/>
    </xf>
    <xf numFmtId="0" fontId="8" fillId="0" borderId="0" xfId="0" applyFont="1" applyBorder="1" applyAlignment="1">
      <alignment/>
    </xf>
    <xf numFmtId="0" fontId="8" fillId="0" borderId="9" xfId="0" applyFont="1" applyBorder="1" applyAlignment="1">
      <alignment/>
    </xf>
    <xf numFmtId="0" fontId="8" fillId="0" borderId="0" xfId="0" applyFont="1" applyBorder="1" applyAlignment="1">
      <alignment wrapText="1"/>
    </xf>
    <xf numFmtId="0" fontId="8" fillId="0" borderId="9" xfId="0" applyFont="1" applyBorder="1" applyAlignment="1">
      <alignment wrapText="1"/>
    </xf>
    <xf numFmtId="0" fontId="8" fillId="0" borderId="10" xfId="0" applyFont="1" applyBorder="1" applyAlignment="1">
      <alignment/>
    </xf>
    <xf numFmtId="0" fontId="8" fillId="0" borderId="11" xfId="0" applyFont="1" applyBorder="1" applyAlignment="1">
      <alignment/>
    </xf>
    <xf numFmtId="0" fontId="8" fillId="0" borderId="11" xfId="0" applyFont="1" applyBorder="1" applyAlignment="1">
      <alignment wrapText="1"/>
    </xf>
    <xf numFmtId="0" fontId="8" fillId="0" borderId="8" xfId="0" applyFont="1" applyBorder="1" applyAlignment="1">
      <alignment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Border="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8" xfId="0" applyFont="1" applyBorder="1" applyAlignment="1">
      <alignment horizontal="center"/>
    </xf>
    <xf numFmtId="2" fontId="8" fillId="0" borderId="12" xfId="0" applyNumberFormat="1" applyFont="1" applyBorder="1" applyAlignment="1">
      <alignment horizontal="right"/>
    </xf>
    <xf numFmtId="2" fontId="8" fillId="0" borderId="13" xfId="0" applyNumberFormat="1" applyFont="1" applyBorder="1" applyAlignment="1">
      <alignment horizontal="right"/>
    </xf>
    <xf numFmtId="0" fontId="8" fillId="0" borderId="8"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14" xfId="0" applyFont="1" applyBorder="1" applyAlignment="1">
      <alignment/>
    </xf>
    <xf numFmtId="20" fontId="8" fillId="0" borderId="15" xfId="0" applyNumberFormat="1" applyFont="1" applyBorder="1" applyAlignment="1">
      <alignment/>
    </xf>
    <xf numFmtId="20" fontId="8" fillId="0" borderId="15" xfId="0" applyNumberFormat="1" applyFont="1" applyBorder="1" applyAlignment="1">
      <alignment horizontal="right"/>
    </xf>
    <xf numFmtId="2" fontId="8" fillId="0" borderId="16" xfId="0" applyNumberFormat="1" applyFont="1" applyBorder="1" applyAlignment="1">
      <alignment horizontal="right"/>
    </xf>
    <xf numFmtId="2" fontId="8" fillId="0" borderId="9" xfId="0" applyNumberFormat="1" applyFont="1" applyBorder="1" applyAlignment="1">
      <alignment/>
    </xf>
    <xf numFmtId="0" fontId="8" fillId="0" borderId="17" xfId="0" applyFont="1" applyBorder="1" applyAlignment="1">
      <alignment/>
    </xf>
    <xf numFmtId="0" fontId="8" fillId="0" borderId="9" xfId="0" applyFont="1" applyBorder="1" applyAlignment="1">
      <alignment horizontal="center" textRotation="90"/>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20" fontId="8" fillId="0" borderId="11" xfId="0" applyNumberFormat="1" applyFont="1" applyBorder="1" applyAlignment="1">
      <alignment/>
    </xf>
    <xf numFmtId="20" fontId="8" fillId="0" borderId="8" xfId="0" applyNumberFormat="1" applyFont="1" applyBorder="1" applyAlignment="1">
      <alignment textRotation="90"/>
    </xf>
    <xf numFmtId="0" fontId="8" fillId="0" borderId="9" xfId="0" applyFont="1" applyBorder="1" applyAlignment="1">
      <alignment horizontal="right"/>
    </xf>
    <xf numFmtId="0" fontId="8" fillId="0" borderId="8" xfId="0" applyFont="1" applyBorder="1" applyAlignment="1">
      <alignment horizontal="right"/>
    </xf>
    <xf numFmtId="2" fontId="8" fillId="0" borderId="15" xfId="0" applyNumberFormat="1" applyFont="1" applyBorder="1" applyAlignment="1">
      <alignment horizontal="right"/>
    </xf>
    <xf numFmtId="0" fontId="8" fillId="0" borderId="16" xfId="0" applyFont="1" applyBorder="1" applyAlignment="1">
      <alignment horizontal="right"/>
    </xf>
    <xf numFmtId="0" fontId="8" fillId="0" borderId="10" xfId="0" applyFont="1" applyBorder="1" applyAlignment="1">
      <alignment horizontal="center" textRotation="90"/>
    </xf>
    <xf numFmtId="0" fontId="8" fillId="0" borderId="11" xfId="0" applyFont="1" applyBorder="1" applyAlignment="1">
      <alignment horizontal="center" textRotation="90"/>
    </xf>
    <xf numFmtId="1" fontId="8" fillId="0" borderId="0" xfId="0" applyNumberFormat="1" applyFont="1" applyAlignment="1">
      <alignment/>
    </xf>
    <xf numFmtId="1" fontId="8" fillId="0" borderId="2" xfId="0" applyNumberFormat="1" applyFont="1" applyBorder="1" applyAlignment="1">
      <alignment/>
    </xf>
    <xf numFmtId="0" fontId="8" fillId="0" borderId="0" xfId="0" applyFont="1" applyAlignment="1">
      <alignment vertical="top"/>
    </xf>
    <xf numFmtId="3" fontId="8" fillId="0" borderId="0" xfId="0" applyNumberFormat="1" applyFont="1" applyBorder="1" applyAlignment="1">
      <alignment/>
    </xf>
    <xf numFmtId="1" fontId="8" fillId="0" borderId="0" xfId="0" applyNumberFormat="1" applyFont="1" applyBorder="1" applyAlignment="1">
      <alignment/>
    </xf>
    <xf numFmtId="0" fontId="10" fillId="0" borderId="18" xfId="0" applyFont="1" applyBorder="1" applyAlignment="1">
      <alignment/>
    </xf>
    <xf numFmtId="1" fontId="8" fillId="0" borderId="4" xfId="0" applyNumberFormat="1" applyFont="1" applyBorder="1" applyAlignment="1">
      <alignment/>
    </xf>
    <xf numFmtId="1" fontId="8" fillId="0" borderId="12" xfId="0" applyNumberFormat="1" applyFont="1" applyBorder="1" applyAlignment="1">
      <alignment/>
    </xf>
    <xf numFmtId="2" fontId="8" fillId="0" borderId="12" xfId="0" applyNumberFormat="1" applyFont="1" applyBorder="1" applyAlignment="1">
      <alignment/>
    </xf>
    <xf numFmtId="0" fontId="8" fillId="0" borderId="4" xfId="0" applyFont="1" applyBorder="1" applyAlignment="1">
      <alignment vertical="top" wrapText="1"/>
    </xf>
    <xf numFmtId="0" fontId="8" fillId="0" borderId="12" xfId="0" applyFont="1" applyBorder="1" applyAlignment="1">
      <alignment vertical="top"/>
    </xf>
    <xf numFmtId="0" fontId="8" fillId="0" borderId="12" xfId="0" applyFont="1" applyBorder="1" applyAlignment="1">
      <alignment/>
    </xf>
    <xf numFmtId="0" fontId="8" fillId="0" borderId="4" xfId="0" applyFont="1" applyBorder="1" applyAlignment="1">
      <alignment wrapText="1"/>
    </xf>
    <xf numFmtId="3" fontId="8" fillId="0" borderId="12" xfId="0" applyNumberFormat="1" applyFont="1" applyBorder="1" applyAlignment="1">
      <alignment/>
    </xf>
    <xf numFmtId="0" fontId="8" fillId="0" borderId="1" xfId="0" applyFont="1" applyBorder="1" applyAlignment="1">
      <alignment vertical="top" wrapText="1"/>
    </xf>
    <xf numFmtId="3" fontId="8" fillId="0" borderId="19" xfId="0" applyNumberFormat="1" applyFont="1" applyBorder="1" applyAlignment="1">
      <alignment vertical="top"/>
    </xf>
    <xf numFmtId="3" fontId="8" fillId="0" borderId="12" xfId="0" applyNumberFormat="1" applyFont="1" applyBorder="1" applyAlignment="1">
      <alignment vertical="top"/>
    </xf>
    <xf numFmtId="0" fontId="8" fillId="0" borderId="0" xfId="0" applyFont="1" applyBorder="1" applyAlignment="1">
      <alignment vertical="top"/>
    </xf>
    <xf numFmtId="0" fontId="10" fillId="0" borderId="1" xfId="0" applyFont="1" applyBorder="1" applyAlignment="1">
      <alignment vertical="top" wrapText="1"/>
    </xf>
    <xf numFmtId="3" fontId="10" fillId="0" borderId="19" xfId="0" applyNumberFormat="1" applyFont="1" applyBorder="1" applyAlignment="1">
      <alignment vertical="top"/>
    </xf>
    <xf numFmtId="3" fontId="8" fillId="0" borderId="0" xfId="0" applyNumberFormat="1" applyFont="1" applyBorder="1" applyAlignment="1">
      <alignment vertical="top"/>
    </xf>
    <xf numFmtId="0" fontId="8" fillId="0" borderId="10" xfId="0" applyFont="1" applyBorder="1" applyAlignment="1">
      <alignment wrapText="1"/>
    </xf>
    <xf numFmtId="0" fontId="8" fillId="0" borderId="13" xfId="0" applyFont="1" applyBorder="1" applyAlignment="1">
      <alignment/>
    </xf>
    <xf numFmtId="2" fontId="8" fillId="0" borderId="19" xfId="0" applyNumberFormat="1" applyFont="1" applyBorder="1" applyAlignment="1">
      <alignment/>
    </xf>
    <xf numFmtId="0" fontId="8" fillId="0" borderId="10" xfId="0" applyFont="1" applyBorder="1" applyAlignment="1">
      <alignment vertical="top" wrapText="1"/>
    </xf>
    <xf numFmtId="3" fontId="8" fillId="0" borderId="13" xfId="0" applyNumberFormat="1" applyFont="1" applyBorder="1" applyAlignment="1">
      <alignment vertical="top"/>
    </xf>
    <xf numFmtId="0" fontId="10" fillId="0" borderId="0" xfId="0" applyFont="1" applyBorder="1" applyAlignment="1">
      <alignment wrapText="1"/>
    </xf>
    <xf numFmtId="3" fontId="8" fillId="0" borderId="13" xfId="0" applyNumberFormat="1" applyFont="1" applyBorder="1" applyAlignment="1">
      <alignment/>
    </xf>
    <xf numFmtId="1" fontId="8" fillId="0" borderId="0" xfId="0" applyNumberFormat="1" applyFont="1" applyBorder="1" applyAlignment="1">
      <alignment/>
    </xf>
    <xf numFmtId="0" fontId="10" fillId="0" borderId="0" xfId="0" applyFont="1" applyBorder="1" applyAlignment="1">
      <alignment/>
    </xf>
    <xf numFmtId="0" fontId="8" fillId="0" borderId="1" xfId="0" applyFont="1" applyBorder="1" applyAlignment="1">
      <alignment wrapText="1"/>
    </xf>
    <xf numFmtId="0" fontId="8" fillId="0" borderId="4" xfId="0" applyFont="1" applyBorder="1" applyAlignment="1">
      <alignment vertical="top"/>
    </xf>
    <xf numFmtId="176" fontId="8" fillId="0" borderId="0" xfId="0" applyNumberFormat="1" applyFont="1" applyBorder="1" applyAlignment="1">
      <alignment/>
    </xf>
    <xf numFmtId="1" fontId="8" fillId="0" borderId="9" xfId="0" applyNumberFormat="1" applyFont="1" applyBorder="1" applyAlignment="1">
      <alignment/>
    </xf>
    <xf numFmtId="9" fontId="8" fillId="0" borderId="0" xfId="0" applyNumberFormat="1" applyFont="1" applyBorder="1" applyAlignment="1">
      <alignment/>
    </xf>
    <xf numFmtId="0" fontId="8" fillId="0" borderId="19" xfId="0" applyFont="1" applyBorder="1" applyAlignment="1">
      <alignment/>
    </xf>
    <xf numFmtId="0" fontId="10" fillId="0" borderId="12" xfId="0" applyFont="1" applyBorder="1" applyAlignment="1">
      <alignment/>
    </xf>
    <xf numFmtId="0" fontId="8" fillId="0" borderId="12" xfId="0" applyFont="1" applyBorder="1" applyAlignment="1">
      <alignment wrapText="1"/>
    </xf>
    <xf numFmtId="0" fontId="8" fillId="0" borderId="12" xfId="0" applyFont="1" applyBorder="1" applyAlignment="1">
      <alignment horizontal="left" wrapText="1"/>
    </xf>
    <xf numFmtId="0" fontId="8" fillId="0" borderId="12" xfId="0" applyFont="1" applyBorder="1" applyAlignment="1">
      <alignment vertical="top" wrapText="1"/>
    </xf>
    <xf numFmtId="0" fontId="8" fillId="0" borderId="19" xfId="0" applyFont="1" applyBorder="1" applyAlignment="1">
      <alignment wrapText="1"/>
    </xf>
    <xf numFmtId="0" fontId="8" fillId="0" borderId="18" xfId="0" applyFont="1" applyBorder="1" applyAlignment="1">
      <alignment/>
    </xf>
    <xf numFmtId="0" fontId="8" fillId="0" borderId="13" xfId="0" applyFont="1" applyBorder="1" applyAlignment="1">
      <alignment wrapText="1"/>
    </xf>
    <xf numFmtId="1" fontId="8" fillId="0" borderId="13" xfId="0" applyNumberFormat="1" applyFont="1" applyBorder="1" applyAlignment="1">
      <alignment/>
    </xf>
    <xf numFmtId="9" fontId="8" fillId="0" borderId="12" xfId="0" applyNumberFormat="1" applyFont="1" applyBorder="1" applyAlignment="1">
      <alignment/>
    </xf>
    <xf numFmtId="216" fontId="8" fillId="0" borderId="13" xfId="0" applyNumberFormat="1" applyFont="1" applyBorder="1" applyAlignment="1">
      <alignment vertical="top"/>
    </xf>
    <xf numFmtId="216" fontId="8" fillId="0" borderId="19" xfId="0" applyNumberFormat="1" applyFont="1" applyBorder="1" applyAlignment="1">
      <alignment/>
    </xf>
    <xf numFmtId="216" fontId="8" fillId="0" borderId="12" xfId="0" applyNumberFormat="1" applyFont="1" applyBorder="1" applyAlignment="1">
      <alignment/>
    </xf>
    <xf numFmtId="3" fontId="8" fillId="0" borderId="9" xfId="0" applyNumberFormat="1" applyFont="1" applyBorder="1" applyAlignment="1">
      <alignment/>
    </xf>
    <xf numFmtId="0" fontId="8" fillId="0" borderId="0" xfId="0" applyNumberFormat="1" applyFont="1" applyFill="1" applyBorder="1" applyAlignment="1">
      <alignment/>
    </xf>
    <xf numFmtId="0" fontId="10" fillId="0" borderId="0" xfId="0" applyNumberFormat="1" applyFont="1" applyFill="1" applyBorder="1" applyAlignment="1">
      <alignment/>
    </xf>
    <xf numFmtId="0" fontId="8" fillId="0" borderId="4" xfId="0" applyNumberFormat="1" applyFont="1" applyFill="1" applyBorder="1" applyAlignment="1">
      <alignment/>
    </xf>
    <xf numFmtId="0" fontId="8" fillId="0" borderId="0" xfId="0" applyNumberFormat="1" applyFont="1" applyFill="1" applyBorder="1" applyAlignment="1">
      <alignment horizontal="center" vertical="top"/>
    </xf>
    <xf numFmtId="0" fontId="8" fillId="0" borderId="0" xfId="0" applyNumberFormat="1" applyFont="1" applyFill="1" applyBorder="1" applyAlignment="1">
      <alignment horizontal="center"/>
    </xf>
    <xf numFmtId="0" fontId="10" fillId="0" borderId="0" xfId="0" applyNumberFormat="1" applyFont="1" applyFill="1" applyBorder="1" applyAlignment="1">
      <alignment horizontal="center" vertical="top"/>
    </xf>
    <xf numFmtId="0" fontId="8" fillId="0" borderId="0" xfId="0" applyFont="1" applyAlignment="1">
      <alignment vertical="center" wrapText="1"/>
    </xf>
    <xf numFmtId="0" fontId="8" fillId="0" borderId="0" xfId="0" applyFont="1" applyAlignment="1">
      <alignment horizontal="center"/>
    </xf>
    <xf numFmtId="0" fontId="8" fillId="0" borderId="0" xfId="0" applyFont="1" applyAlignment="1">
      <alignment horizontal="right" vertical="top"/>
    </xf>
    <xf numFmtId="0" fontId="8" fillId="0" borderId="0" xfId="0" applyFont="1" applyAlignment="1">
      <alignment horizontal="center" vertical="top"/>
    </xf>
    <xf numFmtId="0" fontId="10" fillId="0" borderId="1" xfId="0" applyFont="1" applyBorder="1" applyAlignment="1">
      <alignment wrapText="1"/>
    </xf>
    <xf numFmtId="0" fontId="8" fillId="0" borderId="20" xfId="0" applyFont="1" applyBorder="1" applyAlignment="1">
      <alignment vertical="top" wrapText="1"/>
    </xf>
    <xf numFmtId="3" fontId="8" fillId="0" borderId="21" xfId="0" applyNumberFormat="1" applyFont="1" applyBorder="1" applyAlignment="1">
      <alignment vertical="top"/>
    </xf>
    <xf numFmtId="0" fontId="8" fillId="0" borderId="19" xfId="0" applyFont="1" applyBorder="1" applyAlignment="1">
      <alignment vertical="top"/>
    </xf>
    <xf numFmtId="0" fontId="10" fillId="0" borderId="4" xfId="0" applyFont="1" applyBorder="1" applyAlignment="1">
      <alignment/>
    </xf>
    <xf numFmtId="0" fontId="10" fillId="0" borderId="1" xfId="0" applyFont="1" applyBorder="1" applyAlignment="1">
      <alignment vertical="top"/>
    </xf>
    <xf numFmtId="0" fontId="8" fillId="0" borderId="0" xfId="0" applyNumberFormat="1" applyFont="1" applyFill="1" applyBorder="1" applyAlignment="1">
      <alignment horizontal="left"/>
    </xf>
    <xf numFmtId="0" fontId="8" fillId="0" borderId="18" xfId="0" applyFont="1" applyBorder="1" applyAlignment="1">
      <alignment vertical="top" wrapText="1"/>
    </xf>
    <xf numFmtId="1" fontId="10" fillId="0" borderId="11" xfId="0" applyNumberFormat="1" applyFont="1" applyBorder="1" applyAlignment="1">
      <alignment/>
    </xf>
    <xf numFmtId="1" fontId="8" fillId="0" borderId="11" xfId="0" applyNumberFormat="1" applyFont="1" applyBorder="1" applyAlignment="1">
      <alignment/>
    </xf>
    <xf numFmtId="176" fontId="8" fillId="0" borderId="12" xfId="0" applyNumberFormat="1" applyFont="1" applyBorder="1" applyAlignment="1">
      <alignment/>
    </xf>
    <xf numFmtId="0" fontId="10" fillId="0" borderId="19" xfId="0" applyFont="1" applyBorder="1" applyAlignment="1">
      <alignment/>
    </xf>
    <xf numFmtId="1" fontId="10" fillId="0" borderId="19" xfId="0" applyNumberFormat="1" applyFont="1" applyBorder="1" applyAlignment="1">
      <alignment/>
    </xf>
    <xf numFmtId="0" fontId="8" fillId="0" borderId="22" xfId="0" applyFont="1" applyBorder="1" applyAlignment="1">
      <alignment wrapText="1"/>
    </xf>
    <xf numFmtId="1" fontId="8" fillId="0" borderId="23" xfId="0" applyNumberFormat="1" applyFont="1" applyBorder="1" applyAlignment="1">
      <alignment/>
    </xf>
    <xf numFmtId="1" fontId="8" fillId="0" borderId="22" xfId="0" applyNumberFormat="1" applyFont="1" applyBorder="1" applyAlignment="1">
      <alignment/>
    </xf>
    <xf numFmtId="0" fontId="8" fillId="0" borderId="21" xfId="0" applyFont="1" applyBorder="1" applyAlignment="1">
      <alignment/>
    </xf>
    <xf numFmtId="1" fontId="8" fillId="0" borderId="24" xfId="0" applyNumberFormat="1" applyFont="1" applyBorder="1" applyAlignment="1">
      <alignment/>
    </xf>
    <xf numFmtId="1" fontId="8" fillId="0" borderId="21" xfId="0" applyNumberFormat="1" applyFont="1" applyBorder="1" applyAlignment="1">
      <alignment/>
    </xf>
    <xf numFmtId="0" fontId="8" fillId="0" borderId="21" xfId="0" applyFont="1" applyBorder="1" applyAlignment="1">
      <alignment wrapText="1"/>
    </xf>
    <xf numFmtId="0" fontId="8" fillId="0" borderId="0" xfId="0" applyFont="1" applyAlignment="1">
      <alignment horizontal="left"/>
    </xf>
    <xf numFmtId="0" fontId="8" fillId="0" borderId="5" xfId="0" applyFont="1" applyBorder="1" applyAlignment="1">
      <alignment horizontal="left" vertical="top"/>
    </xf>
    <xf numFmtId="0" fontId="8" fillId="0" borderId="6" xfId="0" applyFont="1" applyBorder="1" applyAlignment="1">
      <alignment vertical="top" wrapText="1"/>
    </xf>
    <xf numFmtId="0" fontId="8" fillId="0" borderId="0" xfId="0" applyFont="1" applyAlignment="1">
      <alignment vertical="top" wrapText="1"/>
    </xf>
    <xf numFmtId="9" fontId="8" fillId="0" borderId="13" xfId="0" applyNumberFormat="1" applyFont="1" applyBorder="1" applyAlignment="1">
      <alignment/>
    </xf>
    <xf numFmtId="9" fontId="8" fillId="0" borderId="3" xfId="0" applyNumberFormat="1" applyFont="1" applyBorder="1" applyAlignment="1">
      <alignment/>
    </xf>
    <xf numFmtId="0" fontId="8" fillId="0" borderId="0" xfId="0" applyFont="1" applyFill="1" applyBorder="1" applyAlignment="1">
      <alignment wrapText="1"/>
    </xf>
    <xf numFmtId="0" fontId="8" fillId="0" borderId="12" xfId="0" applyFont="1" applyFill="1" applyBorder="1" applyAlignment="1">
      <alignment/>
    </xf>
    <xf numFmtId="9" fontId="8" fillId="0" borderId="2" xfId="0" applyNumberFormat="1" applyFont="1" applyBorder="1" applyAlignment="1">
      <alignment/>
    </xf>
    <xf numFmtId="0" fontId="8" fillId="0" borderId="0" xfId="0" applyNumberFormat="1" applyFont="1" applyBorder="1" applyAlignment="1">
      <alignment horizontal="center" vertical="top"/>
    </xf>
    <xf numFmtId="0" fontId="8" fillId="0" borderId="0" xfId="0" applyFont="1" applyFill="1" applyAlignment="1">
      <alignment/>
    </xf>
    <xf numFmtId="0" fontId="8" fillId="0" borderId="0" xfId="0" applyFont="1" applyFill="1" applyAlignment="1">
      <alignment vertical="top"/>
    </xf>
    <xf numFmtId="0" fontId="8" fillId="0" borderId="0" xfId="0" applyFont="1" applyFill="1" applyAlignment="1">
      <alignment wrapText="1"/>
    </xf>
    <xf numFmtId="0" fontId="8" fillId="0" borderId="0" xfId="0" applyFont="1" applyFill="1" applyBorder="1" applyAlignment="1">
      <alignment/>
    </xf>
    <xf numFmtId="10" fontId="8" fillId="0" borderId="0" xfId="0" applyNumberFormat="1" applyFont="1" applyAlignment="1">
      <alignment/>
    </xf>
    <xf numFmtId="0" fontId="10" fillId="0" borderId="1" xfId="0" applyFont="1" applyBorder="1" applyAlignment="1">
      <alignment/>
    </xf>
    <xf numFmtId="0" fontId="8" fillId="0" borderId="18" xfId="0" applyFont="1" applyBorder="1" applyAlignment="1">
      <alignment wrapText="1"/>
    </xf>
    <xf numFmtId="0" fontId="8" fillId="2" borderId="5" xfId="0" applyFont="1" applyFill="1" applyBorder="1" applyAlignment="1">
      <alignment/>
    </xf>
    <xf numFmtId="0" fontId="8" fillId="2" borderId="6" xfId="0" applyFont="1" applyFill="1" applyBorder="1" applyAlignment="1">
      <alignment/>
    </xf>
    <xf numFmtId="0" fontId="8" fillId="2" borderId="7" xfId="0" applyFont="1" applyFill="1" applyBorder="1" applyAlignment="1">
      <alignment/>
    </xf>
    <xf numFmtId="9" fontId="8" fillId="2" borderId="0" xfId="0" applyNumberFormat="1" applyFont="1" applyFill="1" applyAlignment="1">
      <alignment/>
    </xf>
    <xf numFmtId="0" fontId="8" fillId="2" borderId="4" xfId="0" applyFont="1" applyFill="1" applyBorder="1" applyAlignment="1">
      <alignment/>
    </xf>
    <xf numFmtId="0" fontId="8" fillId="2" borderId="0" xfId="0" applyFont="1" applyFill="1" applyBorder="1" applyAlignment="1">
      <alignment/>
    </xf>
    <xf numFmtId="0" fontId="8" fillId="2" borderId="9" xfId="0" applyFont="1" applyFill="1" applyBorder="1" applyAlignment="1">
      <alignment/>
    </xf>
    <xf numFmtId="0" fontId="8" fillId="2" borderId="11" xfId="0" applyFont="1" applyFill="1" applyBorder="1" applyAlignment="1">
      <alignment/>
    </xf>
    <xf numFmtId="0" fontId="8" fillId="0" borderId="13" xfId="0" applyFont="1" applyBorder="1" applyAlignment="1">
      <alignment textRotation="90"/>
    </xf>
    <xf numFmtId="20" fontId="8" fillId="2" borderId="6" xfId="0" applyNumberFormat="1" applyFont="1" applyFill="1" applyBorder="1" applyAlignment="1">
      <alignment vertical="center"/>
    </xf>
    <xf numFmtId="20" fontId="8" fillId="2" borderId="6" xfId="0" applyNumberFormat="1" applyFont="1" applyFill="1" applyBorder="1" applyAlignment="1">
      <alignment horizontal="right" vertical="center"/>
    </xf>
    <xf numFmtId="20" fontId="8" fillId="2" borderId="2" xfId="0" applyNumberFormat="1" applyFont="1" applyFill="1" applyBorder="1" applyAlignment="1">
      <alignment horizontal="right" vertical="center"/>
    </xf>
    <xf numFmtId="9" fontId="8" fillId="2" borderId="18" xfId="0" applyNumberFormat="1" applyFont="1" applyFill="1" applyBorder="1" applyAlignment="1">
      <alignment vertical="center"/>
    </xf>
    <xf numFmtId="9" fontId="8" fillId="2" borderId="25" xfId="0" applyNumberFormat="1" applyFont="1" applyFill="1" applyBorder="1" applyAlignment="1">
      <alignment vertical="center"/>
    </xf>
    <xf numFmtId="9" fontId="8" fillId="0" borderId="0" xfId="0" applyNumberFormat="1" applyFont="1" applyAlignment="1">
      <alignment vertical="center"/>
    </xf>
    <xf numFmtId="0" fontId="8" fillId="2" borderId="5" xfId="0" applyFont="1" applyFill="1" applyBorder="1" applyAlignment="1">
      <alignment vertical="center"/>
    </xf>
    <xf numFmtId="0" fontId="8" fillId="2" borderId="1" xfId="0" applyFont="1" applyFill="1" applyBorder="1" applyAlignment="1">
      <alignment vertical="center"/>
    </xf>
    <xf numFmtId="0" fontId="8" fillId="0" borderId="16" xfId="0" applyFont="1" applyFill="1" applyBorder="1" applyAlignment="1">
      <alignment horizontal="right"/>
    </xf>
    <xf numFmtId="9" fontId="10" fillId="0" borderId="17" xfId="0" applyNumberFormat="1" applyFont="1" applyBorder="1" applyAlignment="1">
      <alignment/>
    </xf>
    <xf numFmtId="2" fontId="12" fillId="0" borderId="12" xfId="0" applyNumberFormat="1" applyFont="1" applyBorder="1" applyAlignment="1">
      <alignment horizontal="right"/>
    </xf>
    <xf numFmtId="0" fontId="8" fillId="0" borderId="26" xfId="0" applyFont="1" applyBorder="1" applyAlignment="1">
      <alignment vertical="center"/>
    </xf>
    <xf numFmtId="20" fontId="8" fillId="0" borderId="27" xfId="0" applyNumberFormat="1" applyFont="1" applyBorder="1" applyAlignment="1">
      <alignment vertical="center"/>
    </xf>
    <xf numFmtId="2" fontId="8" fillId="0" borderId="28" xfId="0" applyNumberFormat="1" applyFont="1" applyBorder="1" applyAlignment="1">
      <alignment horizontal="right" vertical="center"/>
    </xf>
    <xf numFmtId="9" fontId="8" fillId="0" borderId="18" xfId="0" applyNumberFormat="1" applyFont="1" applyBorder="1" applyAlignment="1">
      <alignment vertical="center"/>
    </xf>
    <xf numFmtId="9" fontId="8" fillId="0" borderId="29" xfId="0" applyNumberFormat="1" applyFont="1" applyBorder="1" applyAlignment="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 fontId="8" fillId="0" borderId="13" xfId="0" applyNumberFormat="1" applyFont="1" applyBorder="1" applyAlignment="1">
      <alignment horizontal="right"/>
    </xf>
    <xf numFmtId="176" fontId="8" fillId="0" borderId="4" xfId="0" applyNumberFormat="1" applyFont="1" applyBorder="1" applyAlignment="1">
      <alignment horizontal="center"/>
    </xf>
    <xf numFmtId="0" fontId="8" fillId="2" borderId="0" xfId="0" applyFont="1" applyFill="1" applyAlignment="1">
      <alignment/>
    </xf>
    <xf numFmtId="0" fontId="8" fillId="0" borderId="4" xfId="0" applyFont="1" applyFill="1" applyBorder="1" applyAlignment="1">
      <alignment horizontal="center" textRotation="90"/>
    </xf>
    <xf numFmtId="0" fontId="8" fillId="0" borderId="0" xfId="0" applyFont="1" applyFill="1" applyBorder="1" applyAlignment="1">
      <alignment horizontal="center" textRotation="90"/>
    </xf>
    <xf numFmtId="0" fontId="8" fillId="0" borderId="9" xfId="0" applyFont="1" applyFill="1" applyBorder="1" applyAlignment="1">
      <alignment horizontal="center" textRotation="90"/>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8" xfId="0" applyFont="1" applyFill="1" applyBorder="1" applyAlignment="1">
      <alignment horizontal="center" vertical="center"/>
    </xf>
    <xf numFmtId="9" fontId="8" fillId="0" borderId="19" xfId="0" applyNumberFormat="1" applyFont="1" applyBorder="1" applyAlignment="1">
      <alignment vertical="center"/>
    </xf>
    <xf numFmtId="0" fontId="8" fillId="0" borderId="30" xfId="0" applyFont="1" applyFill="1" applyBorder="1" applyAlignment="1">
      <alignment vertical="center"/>
    </xf>
    <xf numFmtId="20" fontId="8" fillId="0" borderId="31" xfId="0" applyNumberFormat="1" applyFont="1" applyFill="1" applyBorder="1" applyAlignment="1">
      <alignment vertical="center"/>
    </xf>
    <xf numFmtId="20" fontId="8" fillId="0" borderId="31" xfId="0" applyNumberFormat="1" applyFont="1" applyFill="1" applyBorder="1" applyAlignment="1">
      <alignment horizontal="right" vertical="center"/>
    </xf>
    <xf numFmtId="2" fontId="8" fillId="0" borderId="31" xfId="0" applyNumberFormat="1" applyFont="1" applyFill="1" applyBorder="1" applyAlignment="1">
      <alignment horizontal="right" vertical="center"/>
    </xf>
    <xf numFmtId="0" fontId="8" fillId="0" borderId="31" xfId="0" applyFont="1" applyFill="1" applyBorder="1" applyAlignment="1">
      <alignment horizontal="center" vertical="center"/>
    </xf>
    <xf numFmtId="9" fontId="8" fillId="0" borderId="32" xfId="0" applyNumberFormat="1" applyFont="1" applyFill="1" applyBorder="1" applyAlignment="1">
      <alignment vertical="center"/>
    </xf>
    <xf numFmtId="0" fontId="8" fillId="0" borderId="0" xfId="0" applyFont="1" applyFill="1" applyAlignment="1">
      <alignment vertical="center"/>
    </xf>
    <xf numFmtId="0" fontId="8" fillId="0" borderId="32" xfId="0" applyFont="1" applyFill="1" applyBorder="1" applyAlignment="1">
      <alignment horizontal="right" vertical="center"/>
    </xf>
    <xf numFmtId="2" fontId="12" fillId="0" borderId="4" xfId="0" applyNumberFormat="1" applyFont="1" applyBorder="1" applyAlignment="1">
      <alignment horizontal="left"/>
    </xf>
    <xf numFmtId="0" fontId="8" fillId="2" borderId="19" xfId="0" applyFont="1" applyFill="1" applyBorder="1" applyAlignment="1">
      <alignment/>
    </xf>
    <xf numFmtId="230" fontId="8" fillId="0" borderId="0" xfId="0" applyNumberFormat="1" applyFont="1" applyAlignment="1">
      <alignment/>
    </xf>
    <xf numFmtId="0" fontId="8" fillId="0" borderId="0" xfId="0" applyFont="1" applyFill="1" applyBorder="1" applyAlignment="1">
      <alignment vertical="top" wrapText="1"/>
    </xf>
    <xf numFmtId="2" fontId="8" fillId="0" borderId="18" xfId="0" applyNumberFormat="1" applyFont="1" applyBorder="1" applyAlignment="1">
      <alignment/>
    </xf>
    <xf numFmtId="0" fontId="10" fillId="0" borderId="0" xfId="0" applyFont="1" applyBorder="1" applyAlignment="1">
      <alignment horizontal="left"/>
    </xf>
    <xf numFmtId="3" fontId="10" fillId="0" borderId="19" xfId="0" applyNumberFormat="1" applyFont="1" applyBorder="1" applyAlignment="1">
      <alignment/>
    </xf>
    <xf numFmtId="0" fontId="8" fillId="0" borderId="5" xfId="0" applyFont="1" applyBorder="1" applyAlignment="1">
      <alignment wrapText="1"/>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vertical="top" wrapText="1"/>
    </xf>
    <xf numFmtId="0" fontId="8" fillId="0" borderId="0" xfId="0" applyFont="1" applyBorder="1" applyAlignment="1">
      <alignment vertical="top" wrapText="1"/>
    </xf>
    <xf numFmtId="0" fontId="8" fillId="0" borderId="0" xfId="0" applyNumberFormat="1" applyFont="1" applyFill="1" applyBorder="1" applyAlignment="1">
      <alignment horizontal="center" wrapText="1"/>
    </xf>
    <xf numFmtId="0" fontId="11" fillId="0" borderId="0" xfId="0" applyFont="1" applyFill="1" applyAlignment="1">
      <alignment/>
    </xf>
    <xf numFmtId="0" fontId="10" fillId="0" borderId="11" xfId="0" applyFont="1" applyFill="1" applyBorder="1" applyAlignment="1">
      <alignment wrapText="1"/>
    </xf>
    <xf numFmtId="0" fontId="10" fillId="0" borderId="13" xfId="0" applyFont="1" applyFill="1" applyBorder="1" applyAlignment="1">
      <alignment/>
    </xf>
    <xf numFmtId="0" fontId="10" fillId="0" borderId="0" xfId="0" applyFont="1" applyFill="1" applyAlignment="1">
      <alignment/>
    </xf>
    <xf numFmtId="229" fontId="8" fillId="0" borderId="0" xfId="0" applyNumberFormat="1" applyFont="1" applyFill="1" applyAlignment="1">
      <alignment/>
    </xf>
    <xf numFmtId="0" fontId="10" fillId="0" borderId="0" xfId="0" applyFont="1" applyFill="1" applyAlignment="1">
      <alignment wrapText="1"/>
    </xf>
    <xf numFmtId="0" fontId="8" fillId="2" borderId="12" xfId="0" applyFont="1" applyFill="1" applyBorder="1" applyAlignment="1">
      <alignment/>
    </xf>
    <xf numFmtId="226" fontId="8" fillId="2" borderId="12" xfId="0" applyNumberFormat="1" applyFont="1" applyFill="1" applyBorder="1" applyAlignment="1">
      <alignment/>
    </xf>
    <xf numFmtId="9" fontId="8" fillId="2" borderId="12" xfId="0" applyNumberFormat="1" applyFont="1" applyFill="1" applyBorder="1" applyAlignment="1">
      <alignment/>
    </xf>
    <xf numFmtId="229" fontId="8" fillId="2" borderId="12" xfId="0" applyNumberFormat="1" applyFont="1" applyFill="1" applyBorder="1" applyAlignment="1">
      <alignment/>
    </xf>
    <xf numFmtId="1" fontId="8" fillId="2" borderId="12" xfId="0" applyNumberFormat="1" applyFont="1" applyFill="1" applyBorder="1" applyAlignment="1">
      <alignment vertical="top"/>
    </xf>
    <xf numFmtId="213" fontId="8" fillId="2" borderId="12" xfId="0" applyNumberFormat="1" applyFont="1" applyFill="1" applyBorder="1" applyAlignment="1">
      <alignment vertical="top"/>
    </xf>
    <xf numFmtId="229" fontId="8" fillId="2" borderId="12" xfId="0" applyNumberFormat="1" applyFont="1" applyFill="1" applyBorder="1" applyAlignment="1">
      <alignment vertical="top"/>
    </xf>
    <xf numFmtId="9" fontId="8" fillId="2" borderId="12" xfId="0" applyNumberFormat="1" applyFont="1" applyFill="1" applyBorder="1" applyAlignment="1">
      <alignment vertical="top"/>
    </xf>
    <xf numFmtId="213" fontId="8" fillId="2" borderId="12" xfId="0" applyNumberFormat="1" applyFont="1" applyFill="1" applyBorder="1" applyAlignment="1">
      <alignment/>
    </xf>
    <xf numFmtId="176" fontId="8" fillId="2" borderId="12" xfId="0" applyNumberFormat="1" applyFont="1" applyFill="1" applyBorder="1" applyAlignment="1">
      <alignment vertical="top"/>
    </xf>
    <xf numFmtId="1" fontId="8" fillId="0" borderId="19" xfId="0" applyNumberFormat="1" applyFont="1" applyFill="1" applyBorder="1" applyAlignment="1">
      <alignment/>
    </xf>
    <xf numFmtId="9" fontId="8" fillId="0" borderId="12" xfId="0" applyNumberFormat="1" applyFont="1" applyFill="1" applyBorder="1" applyAlignment="1">
      <alignment/>
    </xf>
    <xf numFmtId="3" fontId="8" fillId="0" borderId="0" xfId="0" applyNumberFormat="1" applyFont="1" applyFill="1" applyBorder="1" applyAlignment="1">
      <alignment/>
    </xf>
    <xf numFmtId="0" fontId="8" fillId="0" borderId="10" xfId="0" applyNumberFormat="1" applyFont="1" applyBorder="1" applyAlignment="1">
      <alignment/>
    </xf>
    <xf numFmtId="0" fontId="8" fillId="0" borderId="11" xfId="0" applyNumberFormat="1" applyFont="1" applyBorder="1" applyAlignment="1">
      <alignment/>
    </xf>
    <xf numFmtId="0" fontId="8" fillId="0" borderId="0" xfId="0" applyNumberFormat="1" applyFont="1" applyAlignment="1">
      <alignment/>
    </xf>
    <xf numFmtId="0" fontId="8" fillId="0" borderId="5" xfId="0" applyNumberFormat="1" applyFont="1" applyBorder="1" applyAlignment="1">
      <alignment/>
    </xf>
    <xf numFmtId="0" fontId="8" fillId="0" borderId="6" xfId="0" applyNumberFormat="1" applyFont="1" applyBorder="1" applyAlignment="1">
      <alignment/>
    </xf>
    <xf numFmtId="9" fontId="10" fillId="0" borderId="1" xfId="0" applyNumberFormat="1" applyFont="1" applyBorder="1" applyAlignment="1">
      <alignment/>
    </xf>
    <xf numFmtId="9" fontId="8" fillId="0" borderId="13" xfId="0" applyNumberFormat="1" applyFont="1" applyBorder="1" applyAlignment="1">
      <alignment wrapText="1"/>
    </xf>
    <xf numFmtId="0" fontId="8" fillId="2" borderId="18" xfId="0" applyFont="1" applyFill="1" applyBorder="1" applyAlignment="1">
      <alignment horizontal="center" vertical="top" wrapText="1"/>
    </xf>
    <xf numFmtId="0" fontId="8" fillId="2" borderId="18" xfId="0" applyFont="1" applyFill="1" applyBorder="1" applyAlignment="1">
      <alignment vertical="top" wrapText="1"/>
    </xf>
    <xf numFmtId="0" fontId="8" fillId="2" borderId="18" xfId="0" applyNumberFormat="1" applyFont="1" applyFill="1" applyBorder="1" applyAlignment="1">
      <alignment/>
    </xf>
    <xf numFmtId="9" fontId="8" fillId="2" borderId="18" xfId="0" applyNumberFormat="1" applyFont="1" applyFill="1" applyBorder="1" applyAlignment="1">
      <alignment/>
    </xf>
    <xf numFmtId="0" fontId="8" fillId="0" borderId="6" xfId="0" applyFont="1" applyBorder="1" applyAlignment="1">
      <alignment horizontal="left" vertical="top"/>
    </xf>
    <xf numFmtId="0" fontId="8" fillId="0" borderId="6" xfId="0" applyNumberFormat="1" applyFont="1" applyBorder="1" applyAlignment="1">
      <alignment/>
    </xf>
    <xf numFmtId="0" fontId="8" fillId="0" borderId="11" xfId="0" applyNumberFormat="1" applyFont="1" applyBorder="1" applyAlignment="1">
      <alignment/>
    </xf>
    <xf numFmtId="3" fontId="8" fillId="0" borderId="2" xfId="0" applyNumberFormat="1" applyFont="1" applyFill="1" applyBorder="1" applyAlignment="1">
      <alignment wrapText="1"/>
    </xf>
    <xf numFmtId="3" fontId="8" fillId="0" borderId="3" xfId="0" applyNumberFormat="1" applyFont="1" applyFill="1" applyBorder="1" applyAlignment="1">
      <alignment wrapText="1"/>
    </xf>
    <xf numFmtId="3" fontId="8" fillId="0" borderId="4" xfId="0" applyNumberFormat="1" applyFont="1" applyBorder="1" applyAlignment="1">
      <alignment/>
    </xf>
    <xf numFmtId="3" fontId="8" fillId="0" borderId="0" xfId="0" applyNumberFormat="1" applyFont="1" applyFill="1" applyBorder="1" applyAlignment="1">
      <alignment wrapText="1"/>
    </xf>
    <xf numFmtId="3" fontId="8" fillId="0" borderId="4" xfId="0" applyNumberFormat="1" applyFont="1" applyFill="1" applyBorder="1" applyAlignment="1">
      <alignment/>
    </xf>
    <xf numFmtId="3" fontId="8" fillId="0" borderId="10" xfId="0" applyNumberFormat="1" applyFont="1" applyFill="1" applyBorder="1" applyAlignment="1">
      <alignment/>
    </xf>
    <xf numFmtId="3" fontId="8" fillId="0" borderId="11" xfId="0" applyNumberFormat="1" applyFont="1" applyFill="1" applyBorder="1" applyAlignment="1">
      <alignment wrapText="1"/>
    </xf>
    <xf numFmtId="3" fontId="8" fillId="0" borderId="8" xfId="0" applyNumberFormat="1" applyFont="1" applyFill="1" applyBorder="1" applyAlignment="1">
      <alignment/>
    </xf>
    <xf numFmtId="0" fontId="10" fillId="0" borderId="2" xfId="0" applyFont="1" applyBorder="1" applyAlignment="1">
      <alignment/>
    </xf>
    <xf numFmtId="0" fontId="10" fillId="0" borderId="3" xfId="0" applyFont="1" applyBorder="1" applyAlignment="1">
      <alignment/>
    </xf>
    <xf numFmtId="0" fontId="8" fillId="0" borderId="11" xfId="0" applyFont="1" applyFill="1" applyBorder="1" applyAlignment="1">
      <alignment wrapText="1"/>
    </xf>
    <xf numFmtId="0" fontId="8" fillId="0" borderId="8" xfId="0" applyFont="1" applyFill="1" applyBorder="1" applyAlignment="1">
      <alignment wrapText="1"/>
    </xf>
    <xf numFmtId="0" fontId="8" fillId="0" borderId="10" xfId="0" applyFont="1" applyFill="1" applyBorder="1" applyAlignment="1">
      <alignment/>
    </xf>
    <xf numFmtId="9" fontId="8" fillId="0" borderId="19" xfId="0" applyNumberFormat="1" applyFont="1" applyBorder="1" applyAlignment="1">
      <alignment/>
    </xf>
    <xf numFmtId="9" fontId="8" fillId="0" borderId="12" xfId="0" applyNumberFormat="1" applyFont="1" applyBorder="1" applyAlignment="1">
      <alignment/>
    </xf>
    <xf numFmtId="9" fontId="8" fillId="0" borderId="13" xfId="0" applyNumberFormat="1" applyFont="1" applyBorder="1" applyAlignment="1">
      <alignment/>
    </xf>
    <xf numFmtId="9" fontId="8" fillId="0" borderId="3" xfId="0" applyNumberFormat="1" applyFont="1" applyBorder="1" applyAlignment="1">
      <alignment/>
    </xf>
    <xf numFmtId="9" fontId="8" fillId="0" borderId="9" xfId="0" applyNumberFormat="1" applyFont="1" applyBorder="1" applyAlignment="1">
      <alignment/>
    </xf>
    <xf numFmtId="2" fontId="8" fillId="0" borderId="19" xfId="0" applyNumberFormat="1" applyFont="1" applyBorder="1" applyAlignment="1">
      <alignment/>
    </xf>
    <xf numFmtId="2" fontId="8" fillId="0" borderId="12" xfId="0" applyNumberFormat="1" applyFont="1" applyBorder="1" applyAlignment="1">
      <alignment/>
    </xf>
    <xf numFmtId="2" fontId="8" fillId="2" borderId="13" xfId="0" applyNumberFormat="1" applyFont="1" applyFill="1" applyBorder="1" applyAlignment="1">
      <alignment/>
    </xf>
    <xf numFmtId="9" fontId="8" fillId="0" borderId="1" xfId="0" applyNumberFormat="1" applyFont="1" applyBorder="1" applyAlignment="1">
      <alignment/>
    </xf>
    <xf numFmtId="9" fontId="8" fillId="0" borderId="4" xfId="0" applyNumberFormat="1" applyFont="1" applyBorder="1" applyAlignment="1">
      <alignment/>
    </xf>
    <xf numFmtId="9" fontId="8" fillId="0" borderId="10" xfId="0" applyNumberFormat="1" applyFont="1" applyBorder="1" applyAlignment="1">
      <alignment/>
    </xf>
    <xf numFmtId="9" fontId="8" fillId="0" borderId="8" xfId="0" applyNumberFormat="1" applyFont="1" applyBorder="1" applyAlignment="1">
      <alignment/>
    </xf>
    <xf numFmtId="0" fontId="8" fillId="3" borderId="12" xfId="0" applyFont="1" applyFill="1" applyBorder="1" applyAlignment="1">
      <alignment wrapText="1"/>
    </xf>
    <xf numFmtId="9" fontId="8" fillId="3" borderId="19" xfId="0" applyNumberFormat="1" applyFont="1" applyFill="1" applyBorder="1" applyAlignment="1">
      <alignment/>
    </xf>
    <xf numFmtId="9" fontId="8" fillId="3" borderId="12" xfId="0" applyNumberFormat="1" applyFont="1" applyFill="1" applyBorder="1" applyAlignment="1">
      <alignment/>
    </xf>
    <xf numFmtId="9" fontId="8" fillId="3" borderId="13" xfId="0" applyNumberFormat="1" applyFont="1" applyFill="1" applyBorder="1" applyAlignment="1">
      <alignment/>
    </xf>
    <xf numFmtId="3" fontId="8" fillId="3" borderId="4" xfId="0" applyNumberFormat="1" applyFont="1" applyFill="1" applyBorder="1" applyAlignment="1">
      <alignment/>
    </xf>
    <xf numFmtId="3" fontId="8" fillId="3" borderId="0" xfId="0" applyNumberFormat="1" applyFont="1" applyFill="1" applyBorder="1" applyAlignment="1">
      <alignment wrapText="1"/>
    </xf>
    <xf numFmtId="3" fontId="8" fillId="3" borderId="9" xfId="0" applyNumberFormat="1" applyFont="1" applyFill="1" applyBorder="1" applyAlignment="1">
      <alignment/>
    </xf>
    <xf numFmtId="9" fontId="8" fillId="3" borderId="4" xfId="0" applyNumberFormat="1" applyFont="1" applyFill="1" applyBorder="1" applyAlignment="1">
      <alignment/>
    </xf>
    <xf numFmtId="9" fontId="8" fillId="3" borderId="9" xfId="0" applyNumberFormat="1" applyFont="1" applyFill="1" applyBorder="1" applyAlignment="1">
      <alignment/>
    </xf>
    <xf numFmtId="2" fontId="8" fillId="3" borderId="12" xfId="0" applyNumberFormat="1" applyFont="1" applyFill="1" applyBorder="1" applyAlignment="1">
      <alignment/>
    </xf>
    <xf numFmtId="0" fontId="8" fillId="3" borderId="0" xfId="0" applyFont="1" applyFill="1" applyAlignment="1">
      <alignment/>
    </xf>
    <xf numFmtId="2" fontId="8" fillId="3" borderId="0" xfId="0" applyNumberFormat="1" applyFont="1" applyFill="1" applyAlignment="1">
      <alignment/>
    </xf>
    <xf numFmtId="3" fontId="8" fillId="0" borderId="9" xfId="0" applyNumberFormat="1" applyFont="1" applyFill="1" applyBorder="1" applyAlignment="1">
      <alignment/>
    </xf>
    <xf numFmtId="9" fontId="8" fillId="0" borderId="12" xfId="0" applyNumberFormat="1" applyFont="1" applyFill="1" applyBorder="1" applyAlignment="1">
      <alignment/>
    </xf>
    <xf numFmtId="9" fontId="8" fillId="0" borderId="4" xfId="0" applyNumberFormat="1" applyFont="1" applyFill="1" applyBorder="1" applyAlignment="1">
      <alignment/>
    </xf>
    <xf numFmtId="9" fontId="8" fillId="0" borderId="9" xfId="0" applyNumberFormat="1" applyFont="1" applyFill="1" applyBorder="1" applyAlignment="1">
      <alignment/>
    </xf>
    <xf numFmtId="2" fontId="8" fillId="0" borderId="12" xfId="0" applyNumberFormat="1" applyFont="1" applyFill="1" applyBorder="1" applyAlignment="1">
      <alignment/>
    </xf>
    <xf numFmtId="10" fontId="8" fillId="2" borderId="12" xfId="0" applyNumberFormat="1" applyFont="1" applyFill="1" applyBorder="1" applyAlignment="1">
      <alignment/>
    </xf>
    <xf numFmtId="2" fontId="8" fillId="0" borderId="9" xfId="0" applyNumberFormat="1" applyFont="1" applyFill="1" applyBorder="1" applyAlignment="1">
      <alignment/>
    </xf>
    <xf numFmtId="176" fontId="8" fillId="0" borderId="0" xfId="0" applyNumberFormat="1" applyFont="1" applyAlignment="1">
      <alignment horizontal="center"/>
    </xf>
    <xf numFmtId="1" fontId="8" fillId="0" borderId="0" xfId="0" applyNumberFormat="1" applyFont="1" applyAlignment="1">
      <alignment horizontal="center"/>
    </xf>
    <xf numFmtId="9" fontId="8" fillId="0" borderId="0" xfId="0" applyNumberFormat="1" applyFont="1" applyAlignment="1">
      <alignment horizontal="center"/>
    </xf>
    <xf numFmtId="216" fontId="8" fillId="0" borderId="0" xfId="0" applyNumberFormat="1" applyFont="1" applyAlignment="1">
      <alignment horizontal="center"/>
    </xf>
    <xf numFmtId="3" fontId="8" fillId="0" borderId="18" xfId="0" applyNumberFormat="1" applyFont="1" applyBorder="1" applyAlignment="1">
      <alignment/>
    </xf>
    <xf numFmtId="0" fontId="0" fillId="0" borderId="0" xfId="0" applyFont="1" applyAlignment="1">
      <alignment/>
    </xf>
    <xf numFmtId="3" fontId="8" fillId="0" borderId="12" xfId="0" applyNumberFormat="1" applyFont="1" applyFill="1" applyBorder="1" applyAlignment="1">
      <alignment/>
    </xf>
  </cellXfs>
  <cellStyles count="22">
    <cellStyle name="Normal" xfId="0"/>
    <cellStyle name="Followed Hyperlink" xfId="15"/>
    <cellStyle name="Besuchter Hyperlink_Beitrag_Aarau_Prognose.xls" xfId="16"/>
    <cellStyle name="Besuchter Hyperlink_Budget_Aarau.xls" xfId="17"/>
    <cellStyle name="Comma" xfId="18"/>
    <cellStyle name="Comma [0]" xfId="19"/>
    <cellStyle name="Dezimal [0]_Beitrag_Aarau_Prognose.xls" xfId="20"/>
    <cellStyle name="Dezimal [0]_Budget_Aarau.xls" xfId="21"/>
    <cellStyle name="Dezimal_Beitrag_Aarau_Prognose.xls" xfId="22"/>
    <cellStyle name="Dezimal_Budget_Aarau.xls" xfId="23"/>
    <cellStyle name="Hyperlink" xfId="24"/>
    <cellStyle name="Hyperlink_Beitrag_Aarau_Prognose.xls" xfId="25"/>
    <cellStyle name="Hyperlink_Budget_Aarau.xls" xfId="26"/>
    <cellStyle name="Percent" xfId="27"/>
    <cellStyle name="Standard_Beitrag_Aarau_Prognose.xls" xfId="28"/>
    <cellStyle name="Standard_Budget_Aarau.xls" xfId="29"/>
    <cellStyle name="Currency" xfId="30"/>
    <cellStyle name="Currency [0]" xfId="31"/>
    <cellStyle name="Währung [0]_Beitrag_Aarau_Prognose.xls" xfId="32"/>
    <cellStyle name="Währung [0]_Budget_Aarau.xls" xfId="33"/>
    <cellStyle name="Währung_Beitrag_Aarau_Prognose.xls" xfId="34"/>
    <cellStyle name="Währung_Budget_Aarau.xls"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C67"/>
  <sheetViews>
    <sheetView tabSelected="1" zoomScale="125" zoomScaleNormal="125" workbookViewId="0" topLeftCell="A1">
      <selection activeCell="A25" sqref="A25"/>
    </sheetView>
  </sheetViews>
  <sheetFormatPr defaultColWidth="11.00390625" defaultRowHeight="12"/>
  <cols>
    <col min="1" max="1" width="54.125" style="164" customWidth="1"/>
    <col min="2" max="2" width="11.125" style="162" customWidth="1"/>
    <col min="3" max="3" width="53.00390625" style="0" customWidth="1"/>
    <col min="4" max="16384" width="10.875" style="162" customWidth="1"/>
  </cols>
  <sheetData>
    <row r="1" ht="12.75">
      <c r="A1" s="162" t="s">
        <v>40</v>
      </c>
    </row>
    <row r="3" ht="15">
      <c r="A3" s="230"/>
    </row>
    <row r="4" spans="1:2" ht="15">
      <c r="A4" s="230" t="s">
        <v>174</v>
      </c>
      <c r="B4" s="230"/>
    </row>
    <row r="5" ht="12.75">
      <c r="A5" s="162"/>
    </row>
    <row r="6" spans="1:3" s="233" customFormat="1" ht="12.75">
      <c r="A6" s="231" t="s">
        <v>43</v>
      </c>
      <c r="B6" s="232" t="s">
        <v>44</v>
      </c>
      <c r="C6"/>
    </row>
    <row r="7" spans="1:3" ht="12.75">
      <c r="A7" s="158" t="s">
        <v>67</v>
      </c>
      <c r="B7" s="236">
        <v>1</v>
      </c>
      <c r="C7" s="312"/>
    </row>
    <row r="8" spans="1:2" ht="12.75">
      <c r="A8" s="158" t="s">
        <v>97</v>
      </c>
      <c r="B8" s="236">
        <v>40</v>
      </c>
    </row>
    <row r="9" spans="1:3" s="165" customFormat="1" ht="12.75">
      <c r="A9" s="158" t="s">
        <v>112</v>
      </c>
      <c r="B9" s="159">
        <f>Nachfrage!P32</f>
        <v>8</v>
      </c>
      <c r="C9"/>
    </row>
    <row r="10" spans="1:3" s="163" customFormat="1" ht="12.75">
      <c r="A10" s="221" t="s">
        <v>150</v>
      </c>
      <c r="B10" s="243">
        <v>0.6</v>
      </c>
      <c r="C10"/>
    </row>
    <row r="11" spans="1:2" ht="12.75">
      <c r="A11" s="158" t="s">
        <v>41</v>
      </c>
      <c r="B11" s="237">
        <v>100000</v>
      </c>
    </row>
    <row r="12" spans="1:2" ht="12.75">
      <c r="A12" s="158" t="s">
        <v>134</v>
      </c>
      <c r="B12" s="237">
        <f>12*7234</f>
        <v>86808</v>
      </c>
    </row>
    <row r="13" spans="1:2" ht="22.5">
      <c r="A13" s="158" t="s">
        <v>50</v>
      </c>
      <c r="B13" s="242">
        <f>12*5000</f>
        <v>60000</v>
      </c>
    </row>
    <row r="14" spans="1:2" ht="12.75">
      <c r="A14" s="158" t="s">
        <v>102</v>
      </c>
      <c r="B14" s="240">
        <v>42</v>
      </c>
    </row>
    <row r="15" spans="1:2" ht="12.75">
      <c r="A15" s="158" t="s">
        <v>103</v>
      </c>
      <c r="B15" s="240">
        <v>4</v>
      </c>
    </row>
    <row r="16" spans="1:2" ht="12.75">
      <c r="A16" s="158" t="s">
        <v>104</v>
      </c>
      <c r="B16" s="245">
        <v>5.5</v>
      </c>
    </row>
    <row r="17" spans="1:2" ht="12.75">
      <c r="A17" s="158" t="s">
        <v>94</v>
      </c>
      <c r="B17" s="313">
        <f>ROUND((52-B15)*B14-B16*B14/5,0)</f>
        <v>1970</v>
      </c>
    </row>
    <row r="18" spans="1:3" s="163" customFormat="1" ht="21.75">
      <c r="A18" s="221" t="s">
        <v>51</v>
      </c>
      <c r="B18" s="240">
        <v>4</v>
      </c>
      <c r="C18"/>
    </row>
    <row r="19" spans="1:3" s="163" customFormat="1" ht="21.75">
      <c r="A19" s="221" t="s">
        <v>135</v>
      </c>
      <c r="B19" s="245">
        <v>0.5</v>
      </c>
      <c r="C19"/>
    </row>
    <row r="20" spans="1:3" s="163" customFormat="1" ht="21.75">
      <c r="A20" s="221" t="s">
        <v>126</v>
      </c>
      <c r="B20" s="245">
        <v>4.5</v>
      </c>
      <c r="C20"/>
    </row>
    <row r="21" spans="1:3" s="163" customFormat="1" ht="21.75">
      <c r="A21" s="221" t="s">
        <v>8</v>
      </c>
      <c r="B21" s="241">
        <f>B20/(B8*5)/2</f>
        <v>0.01125</v>
      </c>
      <c r="C21"/>
    </row>
    <row r="22" spans="1:2" ht="12.75">
      <c r="A22" s="158" t="s">
        <v>10</v>
      </c>
      <c r="B22" s="305">
        <v>0.1785</v>
      </c>
    </row>
    <row r="23" spans="1:2" ht="22.5">
      <c r="A23" s="158" t="s">
        <v>7</v>
      </c>
      <c r="B23" s="244">
        <v>0.015</v>
      </c>
    </row>
    <row r="24" spans="1:2" ht="12.75">
      <c r="A24" s="158" t="s">
        <v>9</v>
      </c>
      <c r="B24" s="238">
        <v>0.03</v>
      </c>
    </row>
    <row r="25" spans="1:2" ht="12.75">
      <c r="A25" s="158" t="s">
        <v>72</v>
      </c>
      <c r="B25" s="239">
        <v>10</v>
      </c>
    </row>
    <row r="26" spans="1:2" ht="12.75">
      <c r="A26" s="158" t="s">
        <v>24</v>
      </c>
      <c r="B26" s="239">
        <v>1</v>
      </c>
    </row>
    <row r="27" spans="1:2" ht="12.75">
      <c r="A27" s="158" t="s">
        <v>79</v>
      </c>
      <c r="B27" s="239">
        <v>20</v>
      </c>
    </row>
    <row r="28" spans="1:2" ht="12.75">
      <c r="A28" s="158" t="s">
        <v>13</v>
      </c>
      <c r="B28" s="239">
        <v>100</v>
      </c>
    </row>
    <row r="29" spans="1:3" s="163" customFormat="1" ht="12.75">
      <c r="A29" s="221" t="s">
        <v>175</v>
      </c>
      <c r="B29" s="242">
        <v>314</v>
      </c>
      <c r="C29"/>
    </row>
    <row r="31" ht="12.75">
      <c r="B31" s="234"/>
    </row>
    <row r="67" ht="12.75">
      <c r="A67" s="235"/>
    </row>
  </sheetData>
  <printOptions/>
  <pageMargins left="0.984251968503937" right="0.5905511811023623" top="0.7874015748031497" bottom="0.5905511811023623" header="0.5118110236220472" footer="0.5118110236220472"/>
  <pageSetup orientation="landscape" paperSize="9"/>
</worksheet>
</file>

<file path=xl/worksheets/sheet10.xml><?xml version="1.0" encoding="utf-8"?>
<worksheet xmlns="http://schemas.openxmlformats.org/spreadsheetml/2006/main" xmlns:r="http://schemas.openxmlformats.org/officeDocument/2006/relationships">
  <dimension ref="A1:N73"/>
  <sheetViews>
    <sheetView workbookViewId="0" topLeftCell="A1">
      <selection activeCell="A1" sqref="A1"/>
    </sheetView>
  </sheetViews>
  <sheetFormatPr defaultColWidth="11.00390625" defaultRowHeight="12"/>
  <cols>
    <col min="1" max="1" width="10.875" style="2" customWidth="1"/>
    <col min="2" max="2" width="1.625" style="2" bestFit="1" customWidth="1"/>
    <col min="3" max="3" width="10.875" style="2" customWidth="1"/>
    <col min="4" max="8" width="6.875" style="2" customWidth="1"/>
    <col min="9" max="13" width="11.875" style="2" customWidth="1"/>
    <col min="14" max="16384" width="10.875" style="2" customWidth="1"/>
  </cols>
  <sheetData>
    <row r="1" ht="12.75">
      <c r="A1" s="2" t="str">
        <f>Eckwerte!A1</f>
        <v>Budget freiwillige Tagesschule</v>
      </c>
    </row>
    <row r="2" spans="1:3" ht="12.75">
      <c r="A2" s="14"/>
      <c r="B2" s="14"/>
      <c r="C2" s="14"/>
    </row>
    <row r="3" spans="1:3" ht="15.75">
      <c r="A3" s="1"/>
      <c r="B3" s="1"/>
      <c r="C3" s="1"/>
    </row>
    <row r="4" spans="1:3" ht="15.75">
      <c r="A4" s="1" t="s">
        <v>149</v>
      </c>
      <c r="B4" s="1"/>
      <c r="C4" s="1"/>
    </row>
    <row r="5" ht="12.75"/>
    <row r="6" spans="1:14" s="155" customFormat="1" ht="49.5" customHeight="1">
      <c r="A6" s="153" t="s">
        <v>136</v>
      </c>
      <c r="B6" s="260"/>
      <c r="C6" s="260"/>
      <c r="D6" s="154"/>
      <c r="E6" s="154"/>
      <c r="F6" s="154"/>
      <c r="G6" s="154"/>
      <c r="H6" s="154"/>
      <c r="I6" s="256" t="s">
        <v>77</v>
      </c>
      <c r="J6" s="256" t="s">
        <v>78</v>
      </c>
      <c r="K6" s="256" t="s">
        <v>172</v>
      </c>
      <c r="L6" s="256" t="s">
        <v>31</v>
      </c>
      <c r="M6" s="256" t="s">
        <v>32</v>
      </c>
      <c r="N6" s="257" t="s">
        <v>5</v>
      </c>
    </row>
    <row r="7" spans="1:14" s="251" customFormat="1" ht="12.75">
      <c r="A7" s="252" t="s">
        <v>38</v>
      </c>
      <c r="B7" s="261"/>
      <c r="C7" s="261"/>
      <c r="D7" s="253"/>
      <c r="E7" s="253"/>
      <c r="F7" s="253"/>
      <c r="G7" s="253"/>
      <c r="H7" s="253"/>
      <c r="I7" s="258" t="s">
        <v>169</v>
      </c>
      <c r="J7" s="258" t="s">
        <v>170</v>
      </c>
      <c r="K7" s="258" t="s">
        <v>178</v>
      </c>
      <c r="L7" s="258" t="s">
        <v>179</v>
      </c>
      <c r="M7" s="258" t="s">
        <v>171</v>
      </c>
      <c r="N7" s="258" t="s">
        <v>6</v>
      </c>
    </row>
    <row r="8" spans="1:14" s="251" customFormat="1" ht="12.75">
      <c r="A8" s="249" t="s">
        <v>39</v>
      </c>
      <c r="B8" s="262"/>
      <c r="C8" s="262"/>
      <c r="D8" s="250"/>
      <c r="E8" s="250"/>
      <c r="F8" s="250"/>
      <c r="G8" s="250"/>
      <c r="H8" s="250"/>
      <c r="I8" s="259">
        <v>1</v>
      </c>
      <c r="J8" s="259">
        <f>SUM(Einsatzplan_Vorlage!T12:T16)</f>
        <v>0.8999999999999999</v>
      </c>
      <c r="K8" s="259">
        <f>SUM(Einsatzplan_Vorlage!T13:T14)</f>
        <v>0.5</v>
      </c>
      <c r="L8" s="259">
        <f>SUM(Einsatzplan_Vorlage!T14:T16)</f>
        <v>0.72</v>
      </c>
      <c r="M8" s="259">
        <f>Einsatzplan_Vorlage!T14</f>
        <v>0.32</v>
      </c>
      <c r="N8" s="259">
        <v>1</v>
      </c>
    </row>
    <row r="9" spans="1:14" ht="12.75">
      <c r="A9" s="167"/>
      <c r="B9" s="271"/>
      <c r="C9" s="272"/>
      <c r="D9" s="4" t="s">
        <v>124</v>
      </c>
      <c r="E9" s="5"/>
      <c r="F9" s="160"/>
      <c r="G9" s="160"/>
      <c r="H9" s="157"/>
      <c r="I9" s="254" t="s">
        <v>122</v>
      </c>
      <c r="J9" s="160"/>
      <c r="K9" s="160"/>
      <c r="L9" s="160"/>
      <c r="M9" s="160"/>
      <c r="N9" s="6"/>
    </row>
    <row r="10" spans="1:14" s="14" customFormat="1" ht="12.75">
      <c r="A10" s="275" t="s">
        <v>164</v>
      </c>
      <c r="B10" s="273"/>
      <c r="C10" s="274"/>
      <c r="D10" s="110">
        <v>2</v>
      </c>
      <c r="E10" s="85">
        <v>3</v>
      </c>
      <c r="F10" s="288">
        <v>4</v>
      </c>
      <c r="G10" s="36">
        <v>5</v>
      </c>
      <c r="H10" s="36" t="s">
        <v>76</v>
      </c>
      <c r="I10" s="115"/>
      <c r="J10" s="255"/>
      <c r="K10" s="255"/>
      <c r="L10" s="255"/>
      <c r="M10" s="255"/>
      <c r="N10" s="115"/>
    </row>
    <row r="11" spans="1:14" s="14" customFormat="1" ht="12" customHeight="1">
      <c r="A11" s="103"/>
      <c r="B11" s="263" t="s">
        <v>123</v>
      </c>
      <c r="C11" s="264">
        <v>45000</v>
      </c>
      <c r="D11" s="276">
        <v>0.85</v>
      </c>
      <c r="E11" s="284">
        <v>0.85</v>
      </c>
      <c r="F11" s="289">
        <v>0.85</v>
      </c>
      <c r="G11" s="279">
        <v>0.85</v>
      </c>
      <c r="H11" s="276">
        <v>0.85</v>
      </c>
      <c r="I11" s="281">
        <f aca="true" t="shared" si="0" ref="I11:J31">ROUND(I$32*(1-$F11),1)</f>
        <v>10.5</v>
      </c>
      <c r="J11" s="281">
        <f t="shared" si="0"/>
        <v>9.5</v>
      </c>
      <c r="K11" s="281">
        <v>6</v>
      </c>
      <c r="L11" s="281">
        <f aca="true" t="shared" si="1" ref="L11:L31">ROUND(L$32*(1-$F11),1)</f>
        <v>7.6</v>
      </c>
      <c r="M11" s="281">
        <v>6</v>
      </c>
      <c r="N11" s="281">
        <f aca="true" t="shared" si="2" ref="N11:N31">ROUND(N$32*(1-$F11),1)</f>
        <v>12.5</v>
      </c>
    </row>
    <row r="12" spans="1:14" ht="12" customHeight="1">
      <c r="A12" s="265">
        <v>45001</v>
      </c>
      <c r="B12" s="266" t="s">
        <v>123</v>
      </c>
      <c r="C12" s="121">
        <f>C11+5000</f>
        <v>50000</v>
      </c>
      <c r="D12" s="277">
        <f>D11-0.05</f>
        <v>0.7999999999999999</v>
      </c>
      <c r="E12" s="285">
        <v>0.85</v>
      </c>
      <c r="F12" s="290">
        <v>0.85</v>
      </c>
      <c r="G12" s="280">
        <v>0.85</v>
      </c>
      <c r="H12" s="277">
        <v>0.85</v>
      </c>
      <c r="I12" s="282">
        <f t="shared" si="0"/>
        <v>10.5</v>
      </c>
      <c r="J12" s="282">
        <f t="shared" si="0"/>
        <v>9.5</v>
      </c>
      <c r="K12" s="282">
        <v>6</v>
      </c>
      <c r="L12" s="282">
        <f t="shared" si="1"/>
        <v>7.6</v>
      </c>
      <c r="M12" s="282">
        <v>6</v>
      </c>
      <c r="N12" s="282">
        <f t="shared" si="2"/>
        <v>12.5</v>
      </c>
    </row>
    <row r="13" spans="1:14" s="162" customFormat="1" ht="12.75">
      <c r="A13" s="267">
        <f>A12+5000</f>
        <v>50001</v>
      </c>
      <c r="B13" s="266" t="s">
        <v>123</v>
      </c>
      <c r="C13" s="121">
        <f aca="true" t="shared" si="3" ref="C13:C31">C12+5000</f>
        <v>55000</v>
      </c>
      <c r="D13" s="277">
        <f aca="true" t="shared" si="4" ref="D13:H31">D12-0.05</f>
        <v>0.7499999999999999</v>
      </c>
      <c r="E13" s="285">
        <f t="shared" si="4"/>
        <v>0.7999999999999999</v>
      </c>
      <c r="F13" s="290">
        <v>0.85</v>
      </c>
      <c r="G13" s="280">
        <v>0.85</v>
      </c>
      <c r="H13" s="277">
        <v>0.85</v>
      </c>
      <c r="I13" s="282">
        <f t="shared" si="0"/>
        <v>10.5</v>
      </c>
      <c r="J13" s="282">
        <f t="shared" si="0"/>
        <v>9.5</v>
      </c>
      <c r="K13" s="282">
        <v>6</v>
      </c>
      <c r="L13" s="282">
        <f t="shared" si="1"/>
        <v>7.6</v>
      </c>
      <c r="M13" s="282">
        <v>6</v>
      </c>
      <c r="N13" s="282">
        <f t="shared" si="2"/>
        <v>12.5</v>
      </c>
    </row>
    <row r="14" spans="1:14" ht="12.75">
      <c r="A14" s="267">
        <f aca="true" t="shared" si="5" ref="A14:A32">A13+5000</f>
        <v>55001</v>
      </c>
      <c r="B14" s="266" t="s">
        <v>123</v>
      </c>
      <c r="C14" s="300">
        <f t="shared" si="3"/>
        <v>60000</v>
      </c>
      <c r="D14" s="301">
        <f t="shared" si="4"/>
        <v>0.6999999999999998</v>
      </c>
      <c r="E14" s="302">
        <f t="shared" si="4"/>
        <v>0.7499999999999999</v>
      </c>
      <c r="F14" s="290">
        <f t="shared" si="4"/>
        <v>0.7999999999999999</v>
      </c>
      <c r="G14" s="303">
        <v>0.85</v>
      </c>
      <c r="H14" s="301">
        <v>0.85</v>
      </c>
      <c r="I14" s="304">
        <f t="shared" si="0"/>
        <v>14</v>
      </c>
      <c r="J14" s="304">
        <f t="shared" si="0"/>
        <v>12.6</v>
      </c>
      <c r="K14" s="304">
        <f aca="true" t="shared" si="6" ref="K14:K31">ROUND(K$32*(1-$F14),1)</f>
        <v>7</v>
      </c>
      <c r="L14" s="304">
        <f t="shared" si="1"/>
        <v>10.1</v>
      </c>
      <c r="M14" s="304">
        <v>6</v>
      </c>
      <c r="N14" s="304">
        <f t="shared" si="2"/>
        <v>16.6</v>
      </c>
    </row>
    <row r="15" spans="1:14" ht="12.75">
      <c r="A15" s="267">
        <f t="shared" si="5"/>
        <v>60001</v>
      </c>
      <c r="B15" s="266" t="s">
        <v>123</v>
      </c>
      <c r="C15" s="121">
        <f t="shared" si="3"/>
        <v>65000</v>
      </c>
      <c r="D15" s="277">
        <f t="shared" si="4"/>
        <v>0.6499999999999998</v>
      </c>
      <c r="E15" s="285">
        <f t="shared" si="4"/>
        <v>0.6999999999999998</v>
      </c>
      <c r="F15" s="290">
        <f t="shared" si="4"/>
        <v>0.7499999999999999</v>
      </c>
      <c r="G15" s="280">
        <f t="shared" si="4"/>
        <v>0.7999999999999999</v>
      </c>
      <c r="H15" s="277">
        <v>0.85</v>
      </c>
      <c r="I15" s="282">
        <f t="shared" si="0"/>
        <v>17.5</v>
      </c>
      <c r="J15" s="282">
        <f t="shared" si="0"/>
        <v>15.8</v>
      </c>
      <c r="K15" s="282">
        <f t="shared" si="6"/>
        <v>8.8</v>
      </c>
      <c r="L15" s="282">
        <f t="shared" si="1"/>
        <v>12.6</v>
      </c>
      <c r="M15" s="282">
        <f aca="true" t="shared" si="7" ref="M15:M31">ROUND(M$32*(1-$F15),1)</f>
        <v>5.6</v>
      </c>
      <c r="N15" s="282">
        <f t="shared" si="2"/>
        <v>20.8</v>
      </c>
    </row>
    <row r="16" spans="1:14" ht="12.75">
      <c r="A16" s="292">
        <f t="shared" si="5"/>
        <v>65001</v>
      </c>
      <c r="B16" s="293" t="s">
        <v>123</v>
      </c>
      <c r="C16" s="294">
        <f t="shared" si="3"/>
        <v>70000</v>
      </c>
      <c r="D16" s="290">
        <f t="shared" si="4"/>
        <v>0.5999999999999998</v>
      </c>
      <c r="E16" s="295">
        <f t="shared" si="4"/>
        <v>0.6499999999999998</v>
      </c>
      <c r="F16" s="290">
        <f t="shared" si="4"/>
        <v>0.6999999999999998</v>
      </c>
      <c r="G16" s="296">
        <f t="shared" si="4"/>
        <v>0.7499999999999999</v>
      </c>
      <c r="H16" s="290">
        <f t="shared" si="4"/>
        <v>0.7999999999999999</v>
      </c>
      <c r="I16" s="297">
        <f t="shared" si="0"/>
        <v>21</v>
      </c>
      <c r="J16" s="297">
        <f t="shared" si="0"/>
        <v>18.9</v>
      </c>
      <c r="K16" s="297">
        <f t="shared" si="6"/>
        <v>10.5</v>
      </c>
      <c r="L16" s="297">
        <f t="shared" si="1"/>
        <v>15.1</v>
      </c>
      <c r="M16" s="297">
        <f t="shared" si="7"/>
        <v>6.7</v>
      </c>
      <c r="N16" s="297">
        <f t="shared" si="2"/>
        <v>24.9</v>
      </c>
    </row>
    <row r="17" spans="1:14" ht="12.75">
      <c r="A17" s="267">
        <f t="shared" si="5"/>
        <v>70001</v>
      </c>
      <c r="B17" s="266" t="s">
        <v>123</v>
      </c>
      <c r="C17" s="121">
        <f t="shared" si="3"/>
        <v>75000</v>
      </c>
      <c r="D17" s="277">
        <f t="shared" si="4"/>
        <v>0.5499999999999997</v>
      </c>
      <c r="E17" s="285">
        <f t="shared" si="4"/>
        <v>0.5999999999999998</v>
      </c>
      <c r="F17" s="290">
        <f t="shared" si="4"/>
        <v>0.6499999999999998</v>
      </c>
      <c r="G17" s="280">
        <f t="shared" si="4"/>
        <v>0.6999999999999998</v>
      </c>
      <c r="H17" s="277">
        <f t="shared" si="4"/>
        <v>0.7499999999999999</v>
      </c>
      <c r="I17" s="282">
        <f t="shared" si="0"/>
        <v>24.5</v>
      </c>
      <c r="J17" s="282">
        <f t="shared" si="0"/>
        <v>22.1</v>
      </c>
      <c r="K17" s="282">
        <f t="shared" si="6"/>
        <v>12.3</v>
      </c>
      <c r="L17" s="282">
        <f t="shared" si="1"/>
        <v>17.6</v>
      </c>
      <c r="M17" s="282">
        <f t="shared" si="7"/>
        <v>7.8</v>
      </c>
      <c r="N17" s="282">
        <f t="shared" si="2"/>
        <v>29.1</v>
      </c>
    </row>
    <row r="18" spans="1:14" ht="12.75">
      <c r="A18" s="267">
        <f t="shared" si="5"/>
        <v>75001</v>
      </c>
      <c r="B18" s="266" t="s">
        <v>123</v>
      </c>
      <c r="C18" s="121">
        <f t="shared" si="3"/>
        <v>80000</v>
      </c>
      <c r="D18" s="277">
        <f t="shared" si="4"/>
        <v>0.4999999999999997</v>
      </c>
      <c r="E18" s="285">
        <f t="shared" si="4"/>
        <v>0.5499999999999997</v>
      </c>
      <c r="F18" s="290">
        <f t="shared" si="4"/>
        <v>0.5999999999999998</v>
      </c>
      <c r="G18" s="280">
        <f t="shared" si="4"/>
        <v>0.6499999999999998</v>
      </c>
      <c r="H18" s="277">
        <f t="shared" si="4"/>
        <v>0.6999999999999998</v>
      </c>
      <c r="I18" s="282">
        <f t="shared" si="0"/>
        <v>28</v>
      </c>
      <c r="J18" s="282">
        <f t="shared" si="0"/>
        <v>25.2</v>
      </c>
      <c r="K18" s="282">
        <f t="shared" si="6"/>
        <v>14</v>
      </c>
      <c r="L18" s="282">
        <f t="shared" si="1"/>
        <v>20.2</v>
      </c>
      <c r="M18" s="282">
        <f t="shared" si="7"/>
        <v>9</v>
      </c>
      <c r="N18" s="282">
        <f t="shared" si="2"/>
        <v>33.2</v>
      </c>
    </row>
    <row r="19" spans="1:14" ht="12.75">
      <c r="A19" s="267">
        <f t="shared" si="5"/>
        <v>80001</v>
      </c>
      <c r="B19" s="266" t="s">
        <v>123</v>
      </c>
      <c r="C19" s="121">
        <f t="shared" si="3"/>
        <v>85000</v>
      </c>
      <c r="D19" s="277">
        <f t="shared" si="4"/>
        <v>0.44999999999999973</v>
      </c>
      <c r="E19" s="285">
        <f t="shared" si="4"/>
        <v>0.4999999999999997</v>
      </c>
      <c r="F19" s="290">
        <f t="shared" si="4"/>
        <v>0.5499999999999997</v>
      </c>
      <c r="G19" s="280">
        <f t="shared" si="4"/>
        <v>0.5999999999999998</v>
      </c>
      <c r="H19" s="277">
        <f t="shared" si="4"/>
        <v>0.6499999999999998</v>
      </c>
      <c r="I19" s="282">
        <f t="shared" si="0"/>
        <v>31.5</v>
      </c>
      <c r="J19" s="282">
        <f t="shared" si="0"/>
        <v>28.4</v>
      </c>
      <c r="K19" s="282">
        <f t="shared" si="6"/>
        <v>15.8</v>
      </c>
      <c r="L19" s="282">
        <f t="shared" si="1"/>
        <v>22.7</v>
      </c>
      <c r="M19" s="282">
        <f t="shared" si="7"/>
        <v>10.1</v>
      </c>
      <c r="N19" s="282">
        <f t="shared" si="2"/>
        <v>37.4</v>
      </c>
    </row>
    <row r="20" spans="1:14" ht="12.75">
      <c r="A20" s="267">
        <f t="shared" si="5"/>
        <v>85001</v>
      </c>
      <c r="B20" s="266" t="s">
        <v>123</v>
      </c>
      <c r="C20" s="121">
        <f t="shared" si="3"/>
        <v>90000</v>
      </c>
      <c r="D20" s="277">
        <f t="shared" si="4"/>
        <v>0.39999999999999974</v>
      </c>
      <c r="E20" s="285">
        <f t="shared" si="4"/>
        <v>0.44999999999999973</v>
      </c>
      <c r="F20" s="290">
        <f t="shared" si="4"/>
        <v>0.4999999999999997</v>
      </c>
      <c r="G20" s="280">
        <f t="shared" si="4"/>
        <v>0.5499999999999997</v>
      </c>
      <c r="H20" s="277">
        <f t="shared" si="4"/>
        <v>0.5999999999999998</v>
      </c>
      <c r="I20" s="282">
        <f t="shared" si="0"/>
        <v>35</v>
      </c>
      <c r="J20" s="282">
        <f t="shared" si="0"/>
        <v>31.5</v>
      </c>
      <c r="K20" s="282">
        <f t="shared" si="6"/>
        <v>17.5</v>
      </c>
      <c r="L20" s="282">
        <f t="shared" si="1"/>
        <v>25.2</v>
      </c>
      <c r="M20" s="282">
        <f t="shared" si="7"/>
        <v>11.2</v>
      </c>
      <c r="N20" s="282">
        <f t="shared" si="2"/>
        <v>41.5</v>
      </c>
    </row>
    <row r="21" spans="1:14" ht="12.75">
      <c r="A21" s="267">
        <f t="shared" si="5"/>
        <v>90001</v>
      </c>
      <c r="B21" s="266" t="s">
        <v>123</v>
      </c>
      <c r="C21" s="121">
        <f t="shared" si="3"/>
        <v>95000</v>
      </c>
      <c r="D21" s="277">
        <f t="shared" si="4"/>
        <v>0.34999999999999976</v>
      </c>
      <c r="E21" s="285">
        <f t="shared" si="4"/>
        <v>0.39999999999999974</v>
      </c>
      <c r="F21" s="290">
        <f t="shared" si="4"/>
        <v>0.44999999999999973</v>
      </c>
      <c r="G21" s="280">
        <f t="shared" si="4"/>
        <v>0.4999999999999997</v>
      </c>
      <c r="H21" s="277">
        <f t="shared" si="4"/>
        <v>0.5499999999999997</v>
      </c>
      <c r="I21" s="282">
        <f t="shared" si="0"/>
        <v>38.5</v>
      </c>
      <c r="J21" s="282">
        <f t="shared" si="0"/>
        <v>34.7</v>
      </c>
      <c r="K21" s="282">
        <f t="shared" si="6"/>
        <v>19.3</v>
      </c>
      <c r="L21" s="282">
        <f t="shared" si="1"/>
        <v>27.7</v>
      </c>
      <c r="M21" s="282">
        <f t="shared" si="7"/>
        <v>12.3</v>
      </c>
      <c r="N21" s="282">
        <f t="shared" si="2"/>
        <v>45.7</v>
      </c>
    </row>
    <row r="22" spans="1:14" ht="12.75">
      <c r="A22" s="267">
        <f t="shared" si="5"/>
        <v>95001</v>
      </c>
      <c r="B22" s="266" t="s">
        <v>123</v>
      </c>
      <c r="C22" s="121">
        <f t="shared" si="3"/>
        <v>100000</v>
      </c>
      <c r="D22" s="277">
        <f t="shared" si="4"/>
        <v>0.29999999999999977</v>
      </c>
      <c r="E22" s="285">
        <f t="shared" si="4"/>
        <v>0.34999999999999976</v>
      </c>
      <c r="F22" s="290">
        <f t="shared" si="4"/>
        <v>0.39999999999999974</v>
      </c>
      <c r="G22" s="280">
        <f t="shared" si="4"/>
        <v>0.44999999999999973</v>
      </c>
      <c r="H22" s="277">
        <f t="shared" si="4"/>
        <v>0.4999999999999997</v>
      </c>
      <c r="I22" s="282">
        <f t="shared" si="0"/>
        <v>42</v>
      </c>
      <c r="J22" s="282">
        <f t="shared" si="0"/>
        <v>37.8</v>
      </c>
      <c r="K22" s="282">
        <f t="shared" si="6"/>
        <v>21</v>
      </c>
      <c r="L22" s="282">
        <f t="shared" si="1"/>
        <v>30.2</v>
      </c>
      <c r="M22" s="282">
        <f t="shared" si="7"/>
        <v>13.4</v>
      </c>
      <c r="N22" s="282">
        <f t="shared" si="2"/>
        <v>49.8</v>
      </c>
    </row>
    <row r="23" spans="1:14" ht="12.75">
      <c r="A23" s="267">
        <f t="shared" si="5"/>
        <v>100001</v>
      </c>
      <c r="B23" s="266" t="s">
        <v>123</v>
      </c>
      <c r="C23" s="121">
        <f t="shared" si="3"/>
        <v>105000</v>
      </c>
      <c r="D23" s="277">
        <f t="shared" si="4"/>
        <v>0.24999999999999978</v>
      </c>
      <c r="E23" s="285">
        <f t="shared" si="4"/>
        <v>0.29999999999999977</v>
      </c>
      <c r="F23" s="290">
        <f t="shared" si="4"/>
        <v>0.34999999999999976</v>
      </c>
      <c r="G23" s="280">
        <f t="shared" si="4"/>
        <v>0.39999999999999974</v>
      </c>
      <c r="H23" s="277">
        <f t="shared" si="4"/>
        <v>0.44999999999999973</v>
      </c>
      <c r="I23" s="282">
        <f t="shared" si="0"/>
        <v>45.5</v>
      </c>
      <c r="J23" s="282">
        <f t="shared" si="0"/>
        <v>41</v>
      </c>
      <c r="K23" s="282">
        <f t="shared" si="6"/>
        <v>22.8</v>
      </c>
      <c r="L23" s="282">
        <f t="shared" si="1"/>
        <v>32.8</v>
      </c>
      <c r="M23" s="282">
        <f t="shared" si="7"/>
        <v>14.6</v>
      </c>
      <c r="N23" s="282">
        <f t="shared" si="2"/>
        <v>54</v>
      </c>
    </row>
    <row r="24" spans="1:14" ht="12.75">
      <c r="A24" s="267">
        <f t="shared" si="5"/>
        <v>105001</v>
      </c>
      <c r="B24" s="266" t="s">
        <v>123</v>
      </c>
      <c r="C24" s="121">
        <f t="shared" si="3"/>
        <v>110000</v>
      </c>
      <c r="D24" s="277">
        <f t="shared" si="4"/>
        <v>0.1999999999999998</v>
      </c>
      <c r="E24" s="285">
        <f t="shared" si="4"/>
        <v>0.24999999999999978</v>
      </c>
      <c r="F24" s="290">
        <f t="shared" si="4"/>
        <v>0.29999999999999977</v>
      </c>
      <c r="G24" s="280">
        <f t="shared" si="4"/>
        <v>0.34999999999999976</v>
      </c>
      <c r="H24" s="277">
        <f t="shared" si="4"/>
        <v>0.39999999999999974</v>
      </c>
      <c r="I24" s="282">
        <f t="shared" si="0"/>
        <v>49</v>
      </c>
      <c r="J24" s="282">
        <f t="shared" si="0"/>
        <v>44.1</v>
      </c>
      <c r="K24" s="282">
        <f t="shared" si="6"/>
        <v>24.5</v>
      </c>
      <c r="L24" s="282">
        <f t="shared" si="1"/>
        <v>35.3</v>
      </c>
      <c r="M24" s="282">
        <f t="shared" si="7"/>
        <v>15.7</v>
      </c>
      <c r="N24" s="282">
        <f t="shared" si="2"/>
        <v>58.1</v>
      </c>
    </row>
    <row r="25" spans="1:14" ht="12.75">
      <c r="A25" s="267">
        <f t="shared" si="5"/>
        <v>110001</v>
      </c>
      <c r="B25" s="266" t="s">
        <v>123</v>
      </c>
      <c r="C25" s="121">
        <f t="shared" si="3"/>
        <v>115000</v>
      </c>
      <c r="D25" s="277">
        <f t="shared" si="4"/>
        <v>0.1499999999999998</v>
      </c>
      <c r="E25" s="285">
        <f t="shared" si="4"/>
        <v>0.1999999999999998</v>
      </c>
      <c r="F25" s="290">
        <f t="shared" si="4"/>
        <v>0.24999999999999978</v>
      </c>
      <c r="G25" s="280">
        <f t="shared" si="4"/>
        <v>0.29999999999999977</v>
      </c>
      <c r="H25" s="277">
        <f t="shared" si="4"/>
        <v>0.34999999999999976</v>
      </c>
      <c r="I25" s="282">
        <f t="shared" si="0"/>
        <v>52.5</v>
      </c>
      <c r="J25" s="282">
        <f t="shared" si="0"/>
        <v>47.3</v>
      </c>
      <c r="K25" s="282">
        <f t="shared" si="6"/>
        <v>26.3</v>
      </c>
      <c r="L25" s="282">
        <f t="shared" si="1"/>
        <v>37.8</v>
      </c>
      <c r="M25" s="282">
        <f t="shared" si="7"/>
        <v>16.8</v>
      </c>
      <c r="N25" s="282">
        <f t="shared" si="2"/>
        <v>62.3</v>
      </c>
    </row>
    <row r="26" spans="1:14" ht="12.75">
      <c r="A26" s="267">
        <f t="shared" si="5"/>
        <v>115001</v>
      </c>
      <c r="B26" s="266" t="s">
        <v>123</v>
      </c>
      <c r="C26" s="121">
        <f t="shared" si="3"/>
        <v>120000</v>
      </c>
      <c r="D26" s="277">
        <f t="shared" si="4"/>
        <v>0.0999999999999998</v>
      </c>
      <c r="E26" s="285">
        <f t="shared" si="4"/>
        <v>0.1499999999999998</v>
      </c>
      <c r="F26" s="290">
        <f t="shared" si="4"/>
        <v>0.1999999999999998</v>
      </c>
      <c r="G26" s="280">
        <f t="shared" si="4"/>
        <v>0.24999999999999978</v>
      </c>
      <c r="H26" s="277">
        <f t="shared" si="4"/>
        <v>0.29999999999999977</v>
      </c>
      <c r="I26" s="282">
        <f t="shared" si="0"/>
        <v>56</v>
      </c>
      <c r="J26" s="282">
        <f t="shared" si="0"/>
        <v>50.4</v>
      </c>
      <c r="K26" s="282">
        <f t="shared" si="6"/>
        <v>28</v>
      </c>
      <c r="L26" s="282">
        <f t="shared" si="1"/>
        <v>40.3</v>
      </c>
      <c r="M26" s="282">
        <f t="shared" si="7"/>
        <v>17.9</v>
      </c>
      <c r="N26" s="282">
        <f t="shared" si="2"/>
        <v>66.4</v>
      </c>
    </row>
    <row r="27" spans="1:14" ht="12.75">
      <c r="A27" s="267">
        <f t="shared" si="5"/>
        <v>120001</v>
      </c>
      <c r="B27" s="266" t="s">
        <v>123</v>
      </c>
      <c r="C27" s="121">
        <f t="shared" si="3"/>
        <v>125000</v>
      </c>
      <c r="D27" s="277">
        <f t="shared" si="4"/>
        <v>0.049999999999999795</v>
      </c>
      <c r="E27" s="285">
        <f t="shared" si="4"/>
        <v>0.0999999999999998</v>
      </c>
      <c r="F27" s="290">
        <f t="shared" si="4"/>
        <v>0.1499999999999998</v>
      </c>
      <c r="G27" s="280">
        <f t="shared" si="4"/>
        <v>0.1999999999999998</v>
      </c>
      <c r="H27" s="277">
        <f t="shared" si="4"/>
        <v>0.24999999999999978</v>
      </c>
      <c r="I27" s="282">
        <f t="shared" si="0"/>
        <v>59.5</v>
      </c>
      <c r="J27" s="282">
        <f t="shared" si="0"/>
        <v>53.6</v>
      </c>
      <c r="K27" s="282">
        <f t="shared" si="6"/>
        <v>29.8</v>
      </c>
      <c r="L27" s="282">
        <f t="shared" si="1"/>
        <v>42.8</v>
      </c>
      <c r="M27" s="282">
        <f t="shared" si="7"/>
        <v>19</v>
      </c>
      <c r="N27" s="282">
        <f t="shared" si="2"/>
        <v>70.6</v>
      </c>
    </row>
    <row r="28" spans="1:14" ht="12.75">
      <c r="A28" s="267">
        <f t="shared" si="5"/>
        <v>125001</v>
      </c>
      <c r="B28" s="266" t="s">
        <v>123</v>
      </c>
      <c r="C28" s="121">
        <f t="shared" si="3"/>
        <v>130000</v>
      </c>
      <c r="D28" s="277">
        <f t="shared" si="4"/>
        <v>-2.0816681711721685E-16</v>
      </c>
      <c r="E28" s="285">
        <f t="shared" si="4"/>
        <v>0.049999999999999795</v>
      </c>
      <c r="F28" s="290">
        <f t="shared" si="4"/>
        <v>0.0999999999999998</v>
      </c>
      <c r="G28" s="280">
        <f t="shared" si="4"/>
        <v>0.1499999999999998</v>
      </c>
      <c r="H28" s="277">
        <f t="shared" si="4"/>
        <v>0.1999999999999998</v>
      </c>
      <c r="I28" s="282">
        <f t="shared" si="0"/>
        <v>63</v>
      </c>
      <c r="J28" s="282">
        <f t="shared" si="0"/>
        <v>56.7</v>
      </c>
      <c r="K28" s="282">
        <f t="shared" si="6"/>
        <v>31.5</v>
      </c>
      <c r="L28" s="282">
        <f t="shared" si="1"/>
        <v>45.4</v>
      </c>
      <c r="M28" s="282">
        <f t="shared" si="7"/>
        <v>20.2</v>
      </c>
      <c r="N28" s="282">
        <f t="shared" si="2"/>
        <v>74.7</v>
      </c>
    </row>
    <row r="29" spans="1:14" ht="12.75">
      <c r="A29" s="267">
        <f t="shared" si="5"/>
        <v>130001</v>
      </c>
      <c r="B29" s="266" t="s">
        <v>123</v>
      </c>
      <c r="C29" s="121">
        <f t="shared" si="3"/>
        <v>135000</v>
      </c>
      <c r="D29" s="277">
        <v>0</v>
      </c>
      <c r="E29" s="285">
        <v>0</v>
      </c>
      <c r="F29" s="290">
        <f t="shared" si="4"/>
        <v>0.049999999999999795</v>
      </c>
      <c r="G29" s="280">
        <f t="shared" si="4"/>
        <v>0.0999999999999998</v>
      </c>
      <c r="H29" s="277">
        <f t="shared" si="4"/>
        <v>0.1499999999999998</v>
      </c>
      <c r="I29" s="282">
        <f t="shared" si="0"/>
        <v>66.5</v>
      </c>
      <c r="J29" s="282">
        <f t="shared" si="0"/>
        <v>59.9</v>
      </c>
      <c r="K29" s="282">
        <f t="shared" si="6"/>
        <v>33.3</v>
      </c>
      <c r="L29" s="282">
        <f t="shared" si="1"/>
        <v>47.9</v>
      </c>
      <c r="M29" s="282">
        <f t="shared" si="7"/>
        <v>21.3</v>
      </c>
      <c r="N29" s="282">
        <f t="shared" si="2"/>
        <v>78.9</v>
      </c>
    </row>
    <row r="30" spans="1:14" ht="12.75">
      <c r="A30" s="267">
        <f t="shared" si="5"/>
        <v>135001</v>
      </c>
      <c r="B30" s="266" t="s">
        <v>123</v>
      </c>
      <c r="C30" s="121">
        <f t="shared" si="3"/>
        <v>140000</v>
      </c>
      <c r="D30" s="277">
        <v>0</v>
      </c>
      <c r="E30" s="285">
        <v>0</v>
      </c>
      <c r="F30" s="290">
        <f t="shared" si="4"/>
        <v>-2.0816681711721685E-16</v>
      </c>
      <c r="G30" s="280">
        <f t="shared" si="4"/>
        <v>0.049999999999999795</v>
      </c>
      <c r="H30" s="277">
        <f>H29-0.05</f>
        <v>0.0999999999999998</v>
      </c>
      <c r="I30" s="282">
        <f t="shared" si="0"/>
        <v>70</v>
      </c>
      <c r="J30" s="282">
        <f t="shared" si="0"/>
        <v>63</v>
      </c>
      <c r="K30" s="282">
        <f t="shared" si="6"/>
        <v>35</v>
      </c>
      <c r="L30" s="282">
        <f t="shared" si="1"/>
        <v>50.4</v>
      </c>
      <c r="M30" s="282">
        <f t="shared" si="7"/>
        <v>22.4</v>
      </c>
      <c r="N30" s="282">
        <f t="shared" si="2"/>
        <v>83</v>
      </c>
    </row>
    <row r="31" spans="1:14" ht="12.75">
      <c r="A31" s="267">
        <f t="shared" si="5"/>
        <v>140001</v>
      </c>
      <c r="B31" s="266" t="s">
        <v>123</v>
      </c>
      <c r="C31" s="121">
        <f t="shared" si="3"/>
        <v>145000</v>
      </c>
      <c r="D31" s="277">
        <v>0</v>
      </c>
      <c r="E31" s="285">
        <v>0</v>
      </c>
      <c r="F31" s="290">
        <v>0</v>
      </c>
      <c r="G31" s="280">
        <f t="shared" si="4"/>
        <v>-2.0816681711721685E-16</v>
      </c>
      <c r="H31" s="277">
        <f t="shared" si="4"/>
        <v>0.049999999999999795</v>
      </c>
      <c r="I31" s="282">
        <f t="shared" si="0"/>
        <v>70</v>
      </c>
      <c r="J31" s="282">
        <f t="shared" si="0"/>
        <v>63</v>
      </c>
      <c r="K31" s="282">
        <f t="shared" si="6"/>
        <v>35</v>
      </c>
      <c r="L31" s="282">
        <f t="shared" si="1"/>
        <v>50.4</v>
      </c>
      <c r="M31" s="282">
        <f t="shared" si="7"/>
        <v>22.4</v>
      </c>
      <c r="N31" s="282">
        <f t="shared" si="2"/>
        <v>83</v>
      </c>
    </row>
    <row r="32" spans="1:14" ht="12.75">
      <c r="A32" s="268">
        <f t="shared" si="5"/>
        <v>145001</v>
      </c>
      <c r="B32" s="269" t="s">
        <v>123</v>
      </c>
      <c r="C32" s="270"/>
      <c r="D32" s="278">
        <v>0</v>
      </c>
      <c r="E32" s="286">
        <v>0</v>
      </c>
      <c r="F32" s="291">
        <v>0</v>
      </c>
      <c r="G32" s="287">
        <v>0</v>
      </c>
      <c r="H32" s="278">
        <v>0</v>
      </c>
      <c r="I32" s="283">
        <v>70</v>
      </c>
      <c r="J32" s="283">
        <f>$I32*J8</f>
        <v>62.99999999999999</v>
      </c>
      <c r="K32" s="283">
        <f>$I32*K8</f>
        <v>35</v>
      </c>
      <c r="L32" s="283">
        <f>$I32*L8</f>
        <v>50.4</v>
      </c>
      <c r="M32" s="283">
        <f>$I32*M8</f>
        <v>22.400000000000002</v>
      </c>
      <c r="N32" s="283">
        <v>83</v>
      </c>
    </row>
    <row r="33" spans="1:3" ht="12.75">
      <c r="A33" s="248"/>
      <c r="B33" s="248"/>
      <c r="C33" s="248"/>
    </row>
    <row r="34" spans="1:10" ht="12.75">
      <c r="A34" s="298" t="s">
        <v>177</v>
      </c>
      <c r="B34" s="298"/>
      <c r="C34" s="298"/>
      <c r="D34" s="298"/>
      <c r="E34" s="298"/>
      <c r="F34" s="298"/>
      <c r="G34" s="298"/>
      <c r="H34" s="298"/>
      <c r="I34" s="299"/>
      <c r="J34" s="299">
        <f>I16</f>
        <v>21</v>
      </c>
    </row>
    <row r="35" spans="1:10" ht="12.75">
      <c r="A35" s="298" t="s">
        <v>105</v>
      </c>
      <c r="B35" s="298"/>
      <c r="C35" s="298"/>
      <c r="D35" s="298"/>
      <c r="E35" s="298"/>
      <c r="F35" s="298"/>
      <c r="G35" s="298"/>
      <c r="H35" s="298"/>
      <c r="I35" s="299"/>
      <c r="J35" s="299">
        <f>N16</f>
        <v>24.9</v>
      </c>
    </row>
    <row r="36" ht="12.75"/>
    <row r="37" ht="12.75"/>
    <row r="73" spans="1:3" ht="12">
      <c r="A73" s="3"/>
      <c r="B73" s="3"/>
      <c r="C73"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11.xml><?xml version="1.0" encoding="utf-8"?>
<worksheet xmlns="http://schemas.openxmlformats.org/spreadsheetml/2006/main" xmlns:r="http://schemas.openxmlformats.org/officeDocument/2006/relationships">
  <dimension ref="A1:I59"/>
  <sheetViews>
    <sheetView zoomScale="125" zoomScaleNormal="125" workbookViewId="0" topLeftCell="A1">
      <selection activeCell="B39" sqref="B39:E39"/>
    </sheetView>
  </sheetViews>
  <sheetFormatPr defaultColWidth="11.00390625" defaultRowHeight="12"/>
  <cols>
    <col min="1" max="1" width="27.125" style="14" customWidth="1"/>
    <col min="2" max="7" width="8.875" style="2" customWidth="1"/>
    <col min="8" max="8" width="3.875" style="122" customWidth="1"/>
    <col min="9" max="9" width="31.875" style="33" bestFit="1" customWidth="1"/>
    <col min="10" max="10" width="24.375" style="2" customWidth="1"/>
    <col min="11" max="16384" width="10.875" style="2" customWidth="1"/>
  </cols>
  <sheetData>
    <row r="1" spans="1:9" ht="12.75">
      <c r="A1" s="2" t="str">
        <f>Eckwerte!A1</f>
        <v>Budget freiwillige Tagesschule</v>
      </c>
      <c r="I1" s="13"/>
    </row>
    <row r="2" ht="12.75"/>
    <row r="3" spans="1:9" s="3" customFormat="1" ht="12.75">
      <c r="A3" s="3" t="str">
        <f>CONCATENATE("Budget pro Standort für das "&amp;Eckwerte!$B$7&amp;". Betriebsjahr")</f>
        <v>Budget pro Standort für das 1. Betriebsjahr</v>
      </c>
      <c r="C3" s="2"/>
      <c r="H3" s="123"/>
      <c r="I3" s="102"/>
    </row>
    <row r="4" spans="3:9" s="3" customFormat="1" ht="12.75">
      <c r="C4" s="2"/>
      <c r="H4" s="123"/>
      <c r="I4" s="102"/>
    </row>
    <row r="5" spans="1:9" s="3" customFormat="1" ht="12.75">
      <c r="A5" s="136" t="s">
        <v>141</v>
      </c>
      <c r="C5" s="2"/>
      <c r="H5" s="123"/>
      <c r="I5" s="102"/>
    </row>
    <row r="6" spans="1:9" s="14" customFormat="1" ht="25.5">
      <c r="A6" s="225"/>
      <c r="B6" s="168" t="s">
        <v>95</v>
      </c>
      <c r="C6" s="168" t="s">
        <v>96</v>
      </c>
      <c r="D6" s="168" t="s">
        <v>68</v>
      </c>
      <c r="E6" s="168" t="s">
        <v>69</v>
      </c>
      <c r="F6" s="168" t="s">
        <v>129</v>
      </c>
      <c r="G6" s="168" t="s">
        <v>81</v>
      </c>
      <c r="H6" s="226"/>
      <c r="I6" s="35"/>
    </row>
    <row r="7" spans="1:8" s="73" customFormat="1" ht="12.75">
      <c r="A7" s="79" t="s">
        <v>66</v>
      </c>
      <c r="B7" s="80">
        <f>Einsatzplan_Standort_A!C5</f>
        <v>20</v>
      </c>
      <c r="C7" s="80">
        <f>Einsatzplan_Standort_B!C5</f>
        <v>10</v>
      </c>
      <c r="D7" s="80">
        <f>Einsatzplan_Standort_C!C5</f>
        <v>10</v>
      </c>
      <c r="E7" s="80">
        <f>Einsatzplan_Standort_D!C5</f>
        <v>10</v>
      </c>
      <c r="F7" s="80">
        <f>Einsatzplan_Ferien!C5</f>
        <v>20</v>
      </c>
      <c r="G7" s="80"/>
      <c r="H7" s="126"/>
    </row>
    <row r="8" spans="1:9" s="73" customFormat="1" ht="12.75">
      <c r="A8" s="79" t="s">
        <v>125</v>
      </c>
      <c r="B8" s="81">
        <f>Einsatzplan_Standort_A!C6</f>
        <v>10.719999999999999</v>
      </c>
      <c r="C8" s="81">
        <f>Einsatzplan_Standort_B!C6</f>
        <v>1.7040000000000002</v>
      </c>
      <c r="D8" s="81">
        <f>Einsatzplan_Standort_C!C6</f>
        <v>4.5200000000000005</v>
      </c>
      <c r="E8" s="81">
        <f>Einsatzplan_Standort_D!C6</f>
        <v>2.888000000000001</v>
      </c>
      <c r="F8" s="81">
        <f>Einsatzplan_Ferien!C6</f>
        <v>19.5</v>
      </c>
      <c r="G8" s="81"/>
      <c r="H8" s="138"/>
      <c r="I8" s="101"/>
    </row>
    <row r="9" spans="1:9" s="73" customFormat="1" ht="12.75">
      <c r="A9" s="79" t="s">
        <v>22</v>
      </c>
      <c r="B9" s="80">
        <f>Einsatzplan_Standort_A!T21</f>
        <v>73</v>
      </c>
      <c r="C9" s="80">
        <f>Einsatzplan_Standort_B!T21</f>
        <v>11</v>
      </c>
      <c r="D9" s="80">
        <f>Einsatzplan_Standort_C!T21</f>
        <v>32</v>
      </c>
      <c r="E9" s="80">
        <f>Einsatzplan_Standort_D!T21</f>
        <v>18</v>
      </c>
      <c r="F9" s="80">
        <f>Einsatzplan_Ferien!T20</f>
        <v>100</v>
      </c>
      <c r="G9" s="80"/>
      <c r="H9" s="138"/>
      <c r="I9" s="101"/>
    </row>
    <row r="10" spans="1:9" s="73" customFormat="1" ht="12.75">
      <c r="A10" s="79" t="s">
        <v>2</v>
      </c>
      <c r="B10" s="80">
        <f>Eckwerte!$B8*5</f>
        <v>200</v>
      </c>
      <c r="C10" s="80">
        <f>Eckwerte!$B8*5</f>
        <v>200</v>
      </c>
      <c r="D10" s="80">
        <f>Eckwerte!$B8*5</f>
        <v>200</v>
      </c>
      <c r="E10" s="80">
        <f>Eckwerte!$B8*5</f>
        <v>200</v>
      </c>
      <c r="F10" s="80">
        <f>Eckwerte!$B9*5</f>
        <v>40</v>
      </c>
      <c r="G10" s="80"/>
      <c r="H10" s="126"/>
      <c r="I10" s="101"/>
    </row>
    <row r="11" spans="1:9" s="73" customFormat="1" ht="12.75">
      <c r="A11" s="80" t="s">
        <v>36</v>
      </c>
      <c r="B11" s="80">
        <f>B7*B10</f>
        <v>4000</v>
      </c>
      <c r="C11" s="80">
        <f>C7*C10</f>
        <v>2000</v>
      </c>
      <c r="D11" s="80">
        <f>D7*D10</f>
        <v>2000</v>
      </c>
      <c r="E11" s="80">
        <f>E7*E10</f>
        <v>2000</v>
      </c>
      <c r="F11" s="80">
        <f>F7*F10</f>
        <v>800</v>
      </c>
      <c r="G11" s="80">
        <f>SUM(B11:F11)</f>
        <v>10800</v>
      </c>
      <c r="H11" s="126"/>
      <c r="I11" s="101"/>
    </row>
    <row r="12" spans="1:9" s="73" customFormat="1" ht="12.75">
      <c r="A12" s="116" t="s">
        <v>37</v>
      </c>
      <c r="B12" s="116">
        <f>B8*B10</f>
        <v>2144</v>
      </c>
      <c r="C12" s="116">
        <f>C8*C10</f>
        <v>340.8</v>
      </c>
      <c r="D12" s="116">
        <f>D8*D10</f>
        <v>904.0000000000001</v>
      </c>
      <c r="E12" s="116">
        <f>E8*E10</f>
        <v>577.6000000000001</v>
      </c>
      <c r="F12" s="116">
        <f>F8*F10</f>
        <v>780</v>
      </c>
      <c r="G12" s="116">
        <f>SUM(B12:F12)</f>
        <v>4746.400000000001</v>
      </c>
      <c r="H12" s="126"/>
      <c r="I12" s="101"/>
    </row>
    <row r="13" spans="1:9" s="73" customFormat="1" ht="12.75">
      <c r="A13" s="74"/>
      <c r="B13" s="74"/>
      <c r="C13" s="74"/>
      <c r="D13" s="74"/>
      <c r="E13" s="74"/>
      <c r="F13" s="74"/>
      <c r="G13" s="74"/>
      <c r="H13" s="126"/>
      <c r="I13" s="101"/>
    </row>
    <row r="14" spans="1:9" s="73" customFormat="1" ht="12.75">
      <c r="A14" s="140" t="s">
        <v>80</v>
      </c>
      <c r="B14" s="141"/>
      <c r="C14" s="141"/>
      <c r="D14" s="141"/>
      <c r="E14" s="141"/>
      <c r="F14" s="141"/>
      <c r="G14" s="141"/>
      <c r="H14" s="126"/>
      <c r="I14" s="101"/>
    </row>
    <row r="15" spans="1:9" s="155" customFormat="1" ht="25.5">
      <c r="A15" s="139"/>
      <c r="B15" s="168" t="str">
        <f aca="true" t="shared" si="0" ref="B15:G15">B6</f>
        <v>Standort A</v>
      </c>
      <c r="C15" s="168" t="str">
        <f t="shared" si="0"/>
        <v>Standort B</v>
      </c>
      <c r="D15" s="168" t="str">
        <f t="shared" si="0"/>
        <v>Standort C</v>
      </c>
      <c r="E15" s="168" t="str">
        <f t="shared" si="0"/>
        <v>Standort D</v>
      </c>
      <c r="F15" s="168" t="str">
        <f t="shared" si="0"/>
        <v>Ferien-angebot</v>
      </c>
      <c r="G15" s="168" t="str">
        <f t="shared" si="0"/>
        <v>Summe</v>
      </c>
      <c r="H15" s="227"/>
      <c r="I15" s="228"/>
    </row>
    <row r="16" spans="1:8" ht="12.75">
      <c r="A16" s="132" t="s">
        <v>56</v>
      </c>
      <c r="B16" s="108"/>
      <c r="C16" s="108"/>
      <c r="D16" s="108"/>
      <c r="E16" s="108"/>
      <c r="F16" s="108"/>
      <c r="G16" s="108"/>
      <c r="H16" s="126"/>
    </row>
    <row r="17" spans="1:8" ht="25.5">
      <c r="A17" s="85" t="s">
        <v>151</v>
      </c>
      <c r="B17" s="86">
        <f>Arbeitszeit_Löhne!B20</f>
        <v>78427</v>
      </c>
      <c r="C17" s="86">
        <f>Arbeitszeit_Löhne!C20</f>
        <v>75753</v>
      </c>
      <c r="D17" s="86">
        <f>Arbeitszeit_Löhne!D20</f>
        <v>78427</v>
      </c>
      <c r="E17" s="86">
        <f>Arbeitszeit_Löhne!E20</f>
        <v>78427</v>
      </c>
      <c r="F17" s="86">
        <f>Arbeitszeit_Löhne!F20</f>
        <v>25132</v>
      </c>
      <c r="G17" s="86"/>
      <c r="H17" s="126"/>
    </row>
    <row r="18" spans="1:8" ht="12.75">
      <c r="A18" s="85" t="s">
        <v>89</v>
      </c>
      <c r="B18" s="86">
        <f>Arbeitszeit_Löhne!B33</f>
        <v>26282.23350253806</v>
      </c>
      <c r="C18" s="86">
        <f>Arbeitszeit_Löhne!C33</f>
        <v>6365.228426395932</v>
      </c>
      <c r="D18" s="86">
        <f>Arbeitszeit_Löhne!D33</f>
        <v>7802.538071065981</v>
      </c>
      <c r="E18" s="86">
        <f>Arbeitszeit_Löhne!E33</f>
        <v>7802.538071065981</v>
      </c>
      <c r="F18" s="86">
        <f>Arbeitszeit_Löhne!F33</f>
        <v>6899.086294416244</v>
      </c>
      <c r="G18" s="86"/>
      <c r="H18" s="126"/>
    </row>
    <row r="19" spans="1:8" ht="12.75">
      <c r="A19" s="85" t="s">
        <v>137</v>
      </c>
      <c r="B19" s="86">
        <f>Arbeitszeit_Löhne!B39</f>
        <v>22000</v>
      </c>
      <c r="C19" s="86">
        <f>Arbeitszeit_Löhne!C39</f>
        <v>11000</v>
      </c>
      <c r="D19" s="86">
        <f>Arbeitszeit_Löhne!D39</f>
        <v>11000</v>
      </c>
      <c r="E19" s="86">
        <f>Arbeitszeit_Löhne!E39</f>
        <v>11000</v>
      </c>
      <c r="F19" s="86">
        <f>Arbeitszeit_Löhne!F39</f>
        <v>4000</v>
      </c>
      <c r="G19" s="86"/>
      <c r="H19" s="126"/>
    </row>
    <row r="20" spans="1:9" s="75" customFormat="1" ht="12.75">
      <c r="A20" s="133" t="s">
        <v>90</v>
      </c>
      <c r="B20" s="134">
        <f>SUM(B17:B19)</f>
        <v>126709.23350253806</v>
      </c>
      <c r="C20" s="134">
        <f>SUM(C17:C19)</f>
        <v>93118.22842639593</v>
      </c>
      <c r="D20" s="134">
        <f>SUM(D17:D19)</f>
        <v>97229.53807106598</v>
      </c>
      <c r="E20" s="134">
        <f>SUM(E17:E19)</f>
        <v>97229.53807106598</v>
      </c>
      <c r="F20" s="134">
        <f>SUM(F17:F19)</f>
        <v>36031.08629441624</v>
      </c>
      <c r="G20" s="134"/>
      <c r="H20" s="125"/>
      <c r="I20" s="90"/>
    </row>
    <row r="21" spans="1:9" s="75" customFormat="1" ht="12.75">
      <c r="A21" s="82" t="s">
        <v>173</v>
      </c>
      <c r="B21" s="89">
        <f>Eckwerte!$B$22*B20</f>
        <v>22617.598180203044</v>
      </c>
      <c r="C21" s="89">
        <f>Eckwerte!$B$22*C20</f>
        <v>16621.603774111674</v>
      </c>
      <c r="D21" s="89">
        <f>Eckwerte!$B$22*D20</f>
        <v>17355.472545685276</v>
      </c>
      <c r="E21" s="89">
        <f>Eckwerte!$B$22*E20</f>
        <v>17355.472545685276</v>
      </c>
      <c r="F21" s="89">
        <f>Eckwerte!$B$22*F20</f>
        <v>6431.548903553299</v>
      </c>
      <c r="G21" s="89"/>
      <c r="H21" s="125"/>
      <c r="I21" s="90"/>
    </row>
    <row r="22" spans="1:9" s="75" customFormat="1" ht="12.75">
      <c r="A22" s="82" t="s">
        <v>61</v>
      </c>
      <c r="B22" s="89">
        <f>Eckwerte!$B$23*B20</f>
        <v>1900.6385025380707</v>
      </c>
      <c r="C22" s="89">
        <f>Eckwerte!$B$23*C20</f>
        <v>1396.773426395939</v>
      </c>
      <c r="D22" s="89">
        <f>Eckwerte!$B$23*D20</f>
        <v>1458.4430710659897</v>
      </c>
      <c r="E22" s="89">
        <f>Eckwerte!$B$23*E20</f>
        <v>1458.4430710659897</v>
      </c>
      <c r="F22" s="89">
        <f>Eckwerte!$B$23*F20</f>
        <v>540.4662944162436</v>
      </c>
      <c r="G22" s="89"/>
      <c r="H22" s="125"/>
      <c r="I22" s="90"/>
    </row>
    <row r="23" spans="1:9" s="75" customFormat="1" ht="12.75">
      <c r="A23" s="82" t="s">
        <v>111</v>
      </c>
      <c r="B23" s="89">
        <f>Eckwerte!$B$24*B20</f>
        <v>3801.2770050761414</v>
      </c>
      <c r="C23" s="89">
        <f>Eckwerte!$B$24*C20</f>
        <v>2793.546852791878</v>
      </c>
      <c r="D23" s="89">
        <f>Eckwerte!$B$24*D20</f>
        <v>2916.8861421319793</v>
      </c>
      <c r="E23" s="89">
        <f>Eckwerte!$B$24*E20</f>
        <v>2916.8861421319793</v>
      </c>
      <c r="F23" s="89">
        <f>Eckwerte!$B$24*F20</f>
        <v>1080.9325888324872</v>
      </c>
      <c r="G23" s="89"/>
      <c r="H23" s="125"/>
      <c r="I23" s="90"/>
    </row>
    <row r="24" spans="1:9" s="75" customFormat="1" ht="12.75">
      <c r="A24" s="87" t="s">
        <v>52</v>
      </c>
      <c r="B24" s="88">
        <f>SUM(B20:B23)</f>
        <v>155028.74719035532</v>
      </c>
      <c r="C24" s="88">
        <f>SUM(C20:C23)</f>
        <v>113930.15247969542</v>
      </c>
      <c r="D24" s="88">
        <f>SUM(D20:D23)</f>
        <v>118960.33982994923</v>
      </c>
      <c r="E24" s="88">
        <f>SUM(E20:E23)</f>
        <v>118960.33982994923</v>
      </c>
      <c r="F24" s="88">
        <f>SUM(F20:F23)</f>
        <v>44084.03408121828</v>
      </c>
      <c r="G24" s="88">
        <f>SUM(B24:F24)</f>
        <v>550963.6134111674</v>
      </c>
      <c r="H24" s="125"/>
      <c r="I24" s="90"/>
    </row>
    <row r="25" spans="1:9" s="75" customFormat="1" ht="12.75">
      <c r="A25" s="82"/>
      <c r="B25" s="83"/>
      <c r="C25" s="83"/>
      <c r="D25" s="83"/>
      <c r="E25" s="83"/>
      <c r="F25" s="83"/>
      <c r="G25" s="83"/>
      <c r="H25" s="125"/>
      <c r="I25" s="90"/>
    </row>
    <row r="26" spans="1:9" s="75" customFormat="1" ht="12.75">
      <c r="A26" s="91" t="s">
        <v>55</v>
      </c>
      <c r="B26" s="135"/>
      <c r="C26" s="135"/>
      <c r="D26" s="135"/>
      <c r="E26" s="135"/>
      <c r="F26" s="135"/>
      <c r="G26" s="135"/>
      <c r="H26" s="125"/>
      <c r="I26" s="90"/>
    </row>
    <row r="27" spans="1:9" s="75" customFormat="1" ht="25.5" customHeight="1">
      <c r="A27" s="82" t="s">
        <v>101</v>
      </c>
      <c r="B27" s="89">
        <f>Eckwerte!$B$26*B8*B10</f>
        <v>2144</v>
      </c>
      <c r="C27" s="89">
        <f>Eckwerte!$B$26*C8*C10</f>
        <v>340.8</v>
      </c>
      <c r="D27" s="89">
        <f>Eckwerte!$B$26*D8*D10</f>
        <v>904.0000000000001</v>
      </c>
      <c r="E27" s="89">
        <f>Eckwerte!$B$26*E8*E10</f>
        <v>577.6000000000001</v>
      </c>
      <c r="F27" s="89">
        <f>Eckwerte!$B$26*F8*F10</f>
        <v>780</v>
      </c>
      <c r="G27" s="89"/>
      <c r="H27" s="125"/>
      <c r="I27" s="90"/>
    </row>
    <row r="28" spans="1:9" s="75" customFormat="1" ht="12.75">
      <c r="A28" s="82" t="s">
        <v>53</v>
      </c>
      <c r="B28" s="98">
        <f>Eckwerte!$B$25*B9*B10/5</f>
        <v>29200</v>
      </c>
      <c r="C28" s="98">
        <f>Eckwerte!$B$25*C9*C10/5</f>
        <v>4400</v>
      </c>
      <c r="D28" s="98">
        <f>Eckwerte!$B$25*D9*D10/5</f>
        <v>12800</v>
      </c>
      <c r="E28" s="98">
        <f>Eckwerte!$B$25*E9*E10/5</f>
        <v>7200</v>
      </c>
      <c r="F28" s="98">
        <f>Eckwerte!$B$25*F9*F10/5</f>
        <v>8000</v>
      </c>
      <c r="G28" s="98"/>
      <c r="H28" s="125"/>
      <c r="I28" s="90"/>
    </row>
    <row r="29" spans="1:9" s="75" customFormat="1" ht="12.75">
      <c r="A29" s="87" t="s">
        <v>168</v>
      </c>
      <c r="B29" s="88">
        <f>SUM(B27:B28)</f>
        <v>31344</v>
      </c>
      <c r="C29" s="88">
        <f>SUM(C27:C28)</f>
        <v>4740.8</v>
      </c>
      <c r="D29" s="88">
        <f>SUM(D27:D28)</f>
        <v>13704</v>
      </c>
      <c r="E29" s="88">
        <f>SUM(E27:E28)</f>
        <v>7777.6</v>
      </c>
      <c r="F29" s="88">
        <f>SUM(F27:F28)</f>
        <v>8780</v>
      </c>
      <c r="G29" s="88">
        <f>SUM(B29:F29)</f>
        <v>66346.4</v>
      </c>
      <c r="H29" s="125"/>
      <c r="I29" s="90"/>
    </row>
    <row r="30" spans="1:9" s="75" customFormat="1" ht="12.75">
      <c r="A30" s="82"/>
      <c r="B30" s="89"/>
      <c r="C30" s="89"/>
      <c r="D30" s="89"/>
      <c r="E30" s="89"/>
      <c r="F30" s="89"/>
      <c r="G30" s="89"/>
      <c r="H30" s="125"/>
      <c r="I30" s="90"/>
    </row>
    <row r="31" spans="1:9" s="75" customFormat="1" ht="12.75">
      <c r="A31" s="91" t="s">
        <v>166</v>
      </c>
      <c r="B31" s="135"/>
      <c r="C31" s="135"/>
      <c r="D31" s="135"/>
      <c r="E31" s="135"/>
      <c r="F31" s="135"/>
      <c r="G31" s="135"/>
      <c r="H31" s="125"/>
      <c r="I31" s="90"/>
    </row>
    <row r="32" spans="1:9" s="75" customFormat="1" ht="12" customHeight="1">
      <c r="A32" s="82" t="s">
        <v>14</v>
      </c>
      <c r="B32" s="89">
        <f>Eckwerte!$B$27*B7</f>
        <v>400</v>
      </c>
      <c r="C32" s="89">
        <f>Eckwerte!$B$27*C7</f>
        <v>200</v>
      </c>
      <c r="D32" s="89">
        <f>Eckwerte!$B$27*D7</f>
        <v>200</v>
      </c>
      <c r="E32" s="89">
        <f>Eckwerte!$B$27*E7</f>
        <v>200</v>
      </c>
      <c r="F32" s="89">
        <f>Eckwerte!$B$27*F7</f>
        <v>400</v>
      </c>
      <c r="G32" s="89"/>
      <c r="H32" s="125"/>
      <c r="I32" s="93"/>
    </row>
    <row r="33" spans="1:9" s="75" customFormat="1" ht="12" customHeight="1">
      <c r="A33" s="82" t="s">
        <v>165</v>
      </c>
      <c r="B33" s="89">
        <f>B8*Eckwerte!$B$28</f>
        <v>1072</v>
      </c>
      <c r="C33" s="89">
        <f>C8*Eckwerte!$B$28</f>
        <v>170.4</v>
      </c>
      <c r="D33" s="89">
        <f>D8*Eckwerte!$B$28</f>
        <v>452.00000000000006</v>
      </c>
      <c r="E33" s="89">
        <f>E8*Eckwerte!$B$28</f>
        <v>288.80000000000007</v>
      </c>
      <c r="F33" s="89">
        <f>F8*Eckwerte!$B$28/5</f>
        <v>390</v>
      </c>
      <c r="G33" s="89"/>
      <c r="H33" s="125"/>
      <c r="I33" s="93"/>
    </row>
    <row r="34" spans="1:9" s="75" customFormat="1" ht="12.75">
      <c r="A34" s="87" t="s">
        <v>143</v>
      </c>
      <c r="B34" s="88">
        <f>SUM(B32:B33)</f>
        <v>1472</v>
      </c>
      <c r="C34" s="88">
        <f>SUM(C32:C33)</f>
        <v>370.4</v>
      </c>
      <c r="D34" s="88">
        <f>SUM(D32:D33)</f>
        <v>652</v>
      </c>
      <c r="E34" s="88">
        <f>SUM(E32:E33)</f>
        <v>488.80000000000007</v>
      </c>
      <c r="F34" s="88">
        <f>SUM(F32:F33)</f>
        <v>790</v>
      </c>
      <c r="G34" s="88">
        <f>SUM(B34:F34)</f>
        <v>3773.2000000000003</v>
      </c>
      <c r="H34" s="125"/>
      <c r="I34" s="90"/>
    </row>
    <row r="35" spans="1:9" s="75" customFormat="1" ht="12.75">
      <c r="A35" s="97"/>
      <c r="B35" s="98"/>
      <c r="C35" s="98"/>
      <c r="D35" s="98"/>
      <c r="E35" s="98"/>
      <c r="F35" s="98"/>
      <c r="G35" s="98"/>
      <c r="H35" s="125"/>
      <c r="I35" s="90"/>
    </row>
    <row r="36" spans="1:9" s="75" customFormat="1" ht="12.75">
      <c r="A36" s="137" t="s">
        <v>99</v>
      </c>
      <c r="B36" s="135"/>
      <c r="C36" s="135"/>
      <c r="D36" s="135"/>
      <c r="E36" s="135"/>
      <c r="F36" s="135"/>
      <c r="G36" s="135"/>
      <c r="H36" s="125"/>
      <c r="I36" s="90"/>
    </row>
    <row r="37" spans="1:8" s="90" customFormat="1" ht="12.75">
      <c r="A37" s="104" t="s">
        <v>176</v>
      </c>
      <c r="B37" s="89">
        <v>120</v>
      </c>
      <c r="C37" s="89">
        <v>60</v>
      </c>
      <c r="D37" s="89">
        <v>60</v>
      </c>
      <c r="E37" s="89">
        <v>60</v>
      </c>
      <c r="F37" s="89"/>
      <c r="G37" s="89"/>
      <c r="H37" s="125"/>
    </row>
    <row r="38" spans="1:9" s="75" customFormat="1" ht="12.75">
      <c r="A38" s="82" t="s">
        <v>54</v>
      </c>
      <c r="B38" s="89">
        <f>B37*Eckwerte!$B$29</f>
        <v>37680</v>
      </c>
      <c r="C38" s="89">
        <f>C37*Eckwerte!$B$29</f>
        <v>18840</v>
      </c>
      <c r="D38" s="89">
        <f>D37*Eckwerte!$B$29</f>
        <v>18840</v>
      </c>
      <c r="E38" s="89">
        <f>E37*Eckwerte!$B$29</f>
        <v>18840</v>
      </c>
      <c r="F38" s="89">
        <f>F37*Eckwerte!$B$29</f>
        <v>0</v>
      </c>
      <c r="G38" s="89"/>
      <c r="H38" s="161"/>
      <c r="I38" s="90"/>
    </row>
    <row r="39" spans="1:9" s="75" customFormat="1" ht="12.75">
      <c r="A39" s="87" t="s">
        <v>59</v>
      </c>
      <c r="B39" s="88">
        <f>B38</f>
        <v>37680</v>
      </c>
      <c r="C39" s="88">
        <f>C38</f>
        <v>18840</v>
      </c>
      <c r="D39" s="88">
        <f>D38</f>
        <v>18840</v>
      </c>
      <c r="E39" s="88">
        <f>E38</f>
        <v>18840</v>
      </c>
      <c r="F39" s="88">
        <f>SUM(F37:F38)</f>
        <v>0</v>
      </c>
      <c r="G39" s="88">
        <f>SUM(B39:F39)</f>
        <v>94200</v>
      </c>
      <c r="H39" s="125"/>
      <c r="I39" s="90"/>
    </row>
    <row r="40" spans="1:9" s="75" customFormat="1" ht="12.75">
      <c r="A40" s="82"/>
      <c r="B40" s="83"/>
      <c r="C40" s="83"/>
      <c r="D40" s="83"/>
      <c r="E40" s="83"/>
      <c r="F40" s="83"/>
      <c r="G40" s="83"/>
      <c r="H40" s="125"/>
      <c r="I40" s="90"/>
    </row>
    <row r="41" spans="1:9" s="75" customFormat="1" ht="12.75">
      <c r="A41" s="91" t="s">
        <v>167</v>
      </c>
      <c r="B41" s="92">
        <f aca="true" t="shared" si="1" ref="B41:G41">B24+B29+B34+B39</f>
        <v>225524.74719035532</v>
      </c>
      <c r="C41" s="92">
        <f t="shared" si="1"/>
        <v>137881.3524796954</v>
      </c>
      <c r="D41" s="92">
        <f t="shared" si="1"/>
        <v>152156.33982994923</v>
      </c>
      <c r="E41" s="92">
        <f t="shared" si="1"/>
        <v>146066.73982994922</v>
      </c>
      <c r="F41" s="92">
        <f t="shared" si="1"/>
        <v>53654.03408121828</v>
      </c>
      <c r="G41" s="92">
        <f t="shared" si="1"/>
        <v>715283.2134111674</v>
      </c>
      <c r="H41" s="127"/>
      <c r="I41" s="90"/>
    </row>
    <row r="42" spans="1:8" ht="12.75">
      <c r="A42" s="94"/>
      <c r="B42" s="95"/>
      <c r="C42" s="95"/>
      <c r="D42" s="95"/>
      <c r="E42" s="95"/>
      <c r="F42" s="95"/>
      <c r="G42" s="95"/>
      <c r="H42" s="126"/>
    </row>
    <row r="43" spans="1:8" ht="12.75">
      <c r="A43" s="35"/>
      <c r="B43" s="8"/>
      <c r="C43" s="8"/>
      <c r="D43" s="8"/>
      <c r="E43" s="8"/>
      <c r="F43" s="8"/>
      <c r="G43" s="8"/>
      <c r="H43" s="126"/>
    </row>
    <row r="44" spans="1:8" ht="12.75">
      <c r="A44" s="99" t="s">
        <v>46</v>
      </c>
      <c r="B44" s="8"/>
      <c r="C44" s="8"/>
      <c r="D44" s="8"/>
      <c r="E44" s="8"/>
      <c r="F44" s="8"/>
      <c r="G44" s="8"/>
      <c r="H44" s="126"/>
    </row>
    <row r="45" spans="1:9" s="14" customFormat="1" ht="25.5">
      <c r="A45" s="225"/>
      <c r="B45" s="168" t="str">
        <f>B6</f>
        <v>Standort A</v>
      </c>
      <c r="C45" s="168" t="str">
        <f>C6</f>
        <v>Standort B</v>
      </c>
      <c r="D45" s="168" t="str">
        <f>D6</f>
        <v>Standort C</v>
      </c>
      <c r="E45" s="168" t="str">
        <f>E6</f>
        <v>Standort D</v>
      </c>
      <c r="F45" s="168" t="str">
        <f>F6</f>
        <v>Ferien-angebot</v>
      </c>
      <c r="G45" s="168" t="s">
        <v>81</v>
      </c>
      <c r="H45" s="229"/>
      <c r="I45" s="35"/>
    </row>
    <row r="46" spans="1:8" ht="12.75">
      <c r="A46" s="7" t="s">
        <v>47</v>
      </c>
      <c r="B46" s="86">
        <f>Elternbeiträge!$J$34*B12</f>
        <v>45024</v>
      </c>
      <c r="C46" s="86">
        <f>Elternbeiträge!$J$34*C12</f>
        <v>7156.8</v>
      </c>
      <c r="D46" s="86">
        <f>Elternbeiträge!$J$34*D12</f>
        <v>18984.000000000004</v>
      </c>
      <c r="E46" s="86">
        <f>Elternbeiträge!$J$34*E12</f>
        <v>12129.600000000002</v>
      </c>
      <c r="F46" s="86">
        <f>Elternbeiträge!$J$35*F12</f>
        <v>19422</v>
      </c>
      <c r="G46" s="86">
        <f>SUM(B46:F46)</f>
        <v>102716.40000000001</v>
      </c>
      <c r="H46" s="126"/>
    </row>
    <row r="47" spans="1:8" ht="12.75">
      <c r="A47" s="95" t="s">
        <v>115</v>
      </c>
      <c r="B47" s="100"/>
      <c r="C47" s="100"/>
      <c r="D47" s="100"/>
      <c r="E47" s="100"/>
      <c r="F47" s="100"/>
      <c r="G47" s="100"/>
      <c r="H47" s="126"/>
    </row>
    <row r="48" spans="1:8" ht="12.75">
      <c r="A48" s="143" t="s">
        <v>48</v>
      </c>
      <c r="B48" s="224">
        <f>SUM(B46:B47)</f>
        <v>45024</v>
      </c>
      <c r="C48" s="224">
        <f>SUM(C46:C47)</f>
        <v>7156.8</v>
      </c>
      <c r="D48" s="224">
        <f>SUM(D46:D47)</f>
        <v>18984.000000000004</v>
      </c>
      <c r="E48" s="224">
        <f>SUM(E46:E47)</f>
        <v>12129.600000000002</v>
      </c>
      <c r="F48" s="224">
        <f>SUM(F46:F47)</f>
        <v>19422</v>
      </c>
      <c r="G48" s="224">
        <f>SUM(B48:F48)</f>
        <v>102716.40000000001</v>
      </c>
      <c r="H48" s="126"/>
    </row>
    <row r="49" spans="1:8" ht="12.75">
      <c r="A49" s="95" t="s">
        <v>106</v>
      </c>
      <c r="B49" s="156">
        <f aca="true" t="shared" si="2" ref="B49:G49">B48/B41</f>
        <v>0.19964106183875804</v>
      </c>
      <c r="C49" s="156">
        <f t="shared" si="2"/>
        <v>0.05190549607535885</v>
      </c>
      <c r="D49" s="156">
        <f t="shared" si="2"/>
        <v>0.12476640816423837</v>
      </c>
      <c r="E49" s="156">
        <f t="shared" si="2"/>
        <v>0.08304149195170148</v>
      </c>
      <c r="F49" s="156">
        <f t="shared" si="2"/>
        <v>0.3619858288866059</v>
      </c>
      <c r="G49" s="156">
        <f t="shared" si="2"/>
        <v>0.14360241939713378</v>
      </c>
      <c r="H49" s="126"/>
    </row>
    <row r="50" spans="1:8" ht="12.75">
      <c r="A50" s="35"/>
      <c r="B50" s="76"/>
      <c r="C50" s="76"/>
      <c r="D50" s="76"/>
      <c r="E50" s="76"/>
      <c r="F50" s="76"/>
      <c r="G50" s="76"/>
      <c r="H50" s="126"/>
    </row>
    <row r="51" spans="1:8" ht="12.75">
      <c r="A51" s="223" t="s">
        <v>114</v>
      </c>
      <c r="B51" s="76"/>
      <c r="C51" s="76"/>
      <c r="D51" s="76"/>
      <c r="E51" s="76"/>
      <c r="F51" s="76"/>
      <c r="G51" s="76"/>
      <c r="H51" s="126"/>
    </row>
    <row r="52" spans="1:9" s="14" customFormat="1" ht="25.5">
      <c r="A52" s="225"/>
      <c r="B52" s="168" t="str">
        <f>B6</f>
        <v>Standort A</v>
      </c>
      <c r="C52" s="168" t="str">
        <f>C6</f>
        <v>Standort B</v>
      </c>
      <c r="D52" s="168" t="str">
        <f>D6</f>
        <v>Standort C</v>
      </c>
      <c r="E52" s="168" t="str">
        <f>E6</f>
        <v>Standort D</v>
      </c>
      <c r="F52" s="168" t="str">
        <f>F6</f>
        <v>Ferien-angebot</v>
      </c>
      <c r="G52" s="168" t="s">
        <v>81</v>
      </c>
      <c r="H52" s="229"/>
      <c r="I52" s="35"/>
    </row>
    <row r="53" spans="1:8" ht="12.75">
      <c r="A53" s="113"/>
      <c r="B53" s="224">
        <f>B41-B48</f>
        <v>180500.74719035532</v>
      </c>
      <c r="C53" s="224">
        <f>C41-C48</f>
        <v>130724.5524796954</v>
      </c>
      <c r="D53" s="224">
        <f>D41-D48</f>
        <v>133172.33982994923</v>
      </c>
      <c r="E53" s="224">
        <f>E41-E48</f>
        <v>133937.1398299492</v>
      </c>
      <c r="F53" s="224">
        <f>F41-F48</f>
        <v>34232.03408121828</v>
      </c>
      <c r="G53" s="224">
        <f>SUM(B53:F53)</f>
        <v>612566.8134111675</v>
      </c>
      <c r="H53" s="126"/>
    </row>
    <row r="54" spans="1:8" ht="12.75">
      <c r="A54" s="94"/>
      <c r="B54" s="95"/>
      <c r="C54" s="95"/>
      <c r="D54" s="95"/>
      <c r="E54" s="95"/>
      <c r="F54" s="95"/>
      <c r="G54" s="95"/>
      <c r="H54" s="126"/>
    </row>
    <row r="55" spans="1:8" ht="12.75">
      <c r="A55" s="35"/>
      <c r="B55" s="8"/>
      <c r="C55" s="8"/>
      <c r="D55" s="8"/>
      <c r="E55" s="8"/>
      <c r="F55" s="8"/>
      <c r="G55" s="8"/>
      <c r="H55" s="126"/>
    </row>
    <row r="56" spans="1:8" ht="12.75">
      <c r="A56" s="99" t="s">
        <v>100</v>
      </c>
      <c r="B56" s="8"/>
      <c r="C56" s="8"/>
      <c r="D56" s="8"/>
      <c r="E56" s="8"/>
      <c r="F56" s="8"/>
      <c r="G56" s="8"/>
      <c r="H56" s="126"/>
    </row>
    <row r="57" spans="1:9" s="14" customFormat="1" ht="25.5">
      <c r="A57" s="225"/>
      <c r="B57" s="168" t="str">
        <f>B6</f>
        <v>Standort A</v>
      </c>
      <c r="C57" s="168" t="str">
        <f>C6</f>
        <v>Standort B</v>
      </c>
      <c r="D57" s="168" t="str">
        <f>D6</f>
        <v>Standort C</v>
      </c>
      <c r="E57" s="168" t="str">
        <f>E6</f>
        <v>Standort D</v>
      </c>
      <c r="F57" s="168" t="str">
        <f>F6</f>
        <v>Ferien-angebot</v>
      </c>
      <c r="G57" s="168" t="s">
        <v>120</v>
      </c>
      <c r="H57" s="229"/>
      <c r="I57" s="35"/>
    </row>
    <row r="58" spans="1:8" ht="12.75">
      <c r="A58" s="103" t="s">
        <v>133</v>
      </c>
      <c r="B58" s="96">
        <f aca="true" t="shared" si="3" ref="B58:G58">B41/B12</f>
        <v>105.18878133878513</v>
      </c>
      <c r="C58" s="96">
        <f t="shared" si="3"/>
        <v>404.58143333243953</v>
      </c>
      <c r="D58" s="96">
        <f t="shared" si="3"/>
        <v>168.3145352101208</v>
      </c>
      <c r="E58" s="96">
        <f t="shared" si="3"/>
        <v>252.8856298994965</v>
      </c>
      <c r="F58" s="96">
        <f t="shared" si="3"/>
        <v>68.78722318104907</v>
      </c>
      <c r="G58" s="96">
        <f t="shared" si="3"/>
        <v>150.70015451946048</v>
      </c>
      <c r="H58" s="126"/>
    </row>
    <row r="59" spans="1:8" ht="25.5">
      <c r="A59" s="168" t="s">
        <v>45</v>
      </c>
      <c r="B59" s="222">
        <f aca="true" t="shared" si="4" ref="B59:G59">B41/B11</f>
        <v>56.38118679758883</v>
      </c>
      <c r="C59" s="222">
        <f t="shared" si="4"/>
        <v>68.9406762398477</v>
      </c>
      <c r="D59" s="222">
        <f t="shared" si="4"/>
        <v>76.07816991497461</v>
      </c>
      <c r="E59" s="222">
        <f t="shared" si="4"/>
        <v>73.03336991497461</v>
      </c>
      <c r="F59" s="222">
        <f t="shared" si="4"/>
        <v>67.06754260152285</v>
      </c>
      <c r="G59" s="222">
        <f t="shared" si="4"/>
        <v>66.22992716770068</v>
      </c>
      <c r="H59" s="126"/>
    </row>
    <row r="60" ht="12.75"/>
    <row r="61" ht="12.75"/>
    <row r="62" ht="12.75"/>
    <row r="63" ht="12.75"/>
  </sheetData>
  <printOptions/>
  <pageMargins left="0.984251968503937" right="0.5905511811023623" top="0.7874015748031497" bottom="0.5905511811023623" header="0.5118110236220472" footer="0.5118110236220472"/>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S66"/>
  <sheetViews>
    <sheetView workbookViewId="0" topLeftCell="A1">
      <selection activeCell="P37" sqref="P37"/>
    </sheetView>
  </sheetViews>
  <sheetFormatPr defaultColWidth="11.00390625" defaultRowHeight="12"/>
  <cols>
    <col min="1" max="1" width="39.50390625" style="2" bestFit="1" customWidth="1"/>
    <col min="2" max="2" width="4.625" style="2" bestFit="1" customWidth="1"/>
    <col min="3" max="17" width="3.875" style="2" customWidth="1"/>
    <col min="18" max="16384" width="10.875" style="2" customWidth="1"/>
  </cols>
  <sheetData>
    <row r="1" spans="1:19" ht="12.75">
      <c r="A1" s="2" t="str">
        <f>Eckwerte!A1</f>
        <v>Budget freiwillige Tagesschule</v>
      </c>
      <c r="S1" s="13"/>
    </row>
    <row r="2" ht="12.75"/>
    <row r="3" ht="15.75">
      <c r="A3" s="1"/>
    </row>
    <row r="4" ht="15.75">
      <c r="A4" s="1" t="s">
        <v>0</v>
      </c>
    </row>
    <row r="5" ht="12.75"/>
    <row r="6" spans="3:17" ht="12.75">
      <c r="C6" s="4" t="s">
        <v>144</v>
      </c>
      <c r="D6" s="5"/>
      <c r="E6" s="6"/>
      <c r="F6" s="4" t="s">
        <v>145</v>
      </c>
      <c r="G6" s="5"/>
      <c r="H6" s="6"/>
      <c r="I6" s="4" t="s">
        <v>146</v>
      </c>
      <c r="J6" s="5"/>
      <c r="K6" s="6"/>
      <c r="L6" s="4" t="s">
        <v>147</v>
      </c>
      <c r="M6" s="5"/>
      <c r="N6" s="6"/>
      <c r="O6" s="4" t="s">
        <v>148</v>
      </c>
      <c r="P6" s="5"/>
      <c r="Q6" s="6"/>
    </row>
    <row r="7" spans="1:17" ht="12.75">
      <c r="A7" s="3" t="s">
        <v>95</v>
      </c>
      <c r="C7" s="37" t="s">
        <v>62</v>
      </c>
      <c r="D7" s="38" t="s">
        <v>63</v>
      </c>
      <c r="E7" s="52" t="s">
        <v>64</v>
      </c>
      <c r="F7" s="37" t="s">
        <v>62</v>
      </c>
      <c r="G7" s="38" t="s">
        <v>63</v>
      </c>
      <c r="H7" s="52" t="s">
        <v>64</v>
      </c>
      <c r="I7" s="37" t="s">
        <v>62</v>
      </c>
      <c r="J7" s="38" t="s">
        <v>63</v>
      </c>
      <c r="K7" s="52" t="s">
        <v>64</v>
      </c>
      <c r="L7" s="37" t="s">
        <v>62</v>
      </c>
      <c r="M7" s="38" t="s">
        <v>63</v>
      </c>
      <c r="N7" s="52" t="s">
        <v>64</v>
      </c>
      <c r="O7" s="37" t="s">
        <v>62</v>
      </c>
      <c r="P7" s="38" t="s">
        <v>63</v>
      </c>
      <c r="Q7" s="52" t="s">
        <v>64</v>
      </c>
    </row>
    <row r="8" spans="1:17" ht="12.75">
      <c r="A8" s="162" t="s">
        <v>132</v>
      </c>
      <c r="B8" s="162"/>
      <c r="C8" s="169">
        <v>33</v>
      </c>
      <c r="D8" s="170">
        <v>54</v>
      </c>
      <c r="E8" s="171">
        <v>48</v>
      </c>
      <c r="F8" s="169">
        <v>25</v>
      </c>
      <c r="G8" s="170">
        <v>53</v>
      </c>
      <c r="H8" s="171">
        <v>33</v>
      </c>
      <c r="I8" s="169">
        <v>25</v>
      </c>
      <c r="J8" s="170">
        <v>38</v>
      </c>
      <c r="K8" s="171">
        <v>22</v>
      </c>
      <c r="L8" s="169">
        <v>18</v>
      </c>
      <c r="M8" s="170">
        <v>48</v>
      </c>
      <c r="N8" s="171">
        <v>29</v>
      </c>
      <c r="O8" s="169">
        <v>20</v>
      </c>
      <c r="P8" s="170">
        <v>41</v>
      </c>
      <c r="Q8" s="171">
        <v>24</v>
      </c>
    </row>
    <row r="9" spans="1:17" ht="12.75">
      <c r="A9" s="2" t="s">
        <v>35</v>
      </c>
      <c r="B9" s="172">
        <v>0.3</v>
      </c>
      <c r="C9" s="37">
        <f>ROUNDUP(C8*$B9,0)</f>
        <v>10</v>
      </c>
      <c r="D9" s="38">
        <f aca="true" t="shared" si="0" ref="D9:Q9">ROUNDUP(D8*$B9,0)</f>
        <v>17</v>
      </c>
      <c r="E9" s="52">
        <f t="shared" si="0"/>
        <v>15</v>
      </c>
      <c r="F9" s="37">
        <f t="shared" si="0"/>
        <v>8</v>
      </c>
      <c r="G9" s="38">
        <f t="shared" si="0"/>
        <v>16</v>
      </c>
      <c r="H9" s="52">
        <f t="shared" si="0"/>
        <v>10</v>
      </c>
      <c r="I9" s="37">
        <f t="shared" si="0"/>
        <v>8</v>
      </c>
      <c r="J9" s="38">
        <f t="shared" si="0"/>
        <v>12</v>
      </c>
      <c r="K9" s="52">
        <f t="shared" si="0"/>
        <v>7</v>
      </c>
      <c r="L9" s="37">
        <f t="shared" si="0"/>
        <v>6</v>
      </c>
      <c r="M9" s="38">
        <f t="shared" si="0"/>
        <v>15</v>
      </c>
      <c r="N9" s="52">
        <f t="shared" si="0"/>
        <v>9</v>
      </c>
      <c r="O9" s="37">
        <f t="shared" si="0"/>
        <v>6</v>
      </c>
      <c r="P9" s="38">
        <f t="shared" si="0"/>
        <v>13</v>
      </c>
      <c r="Q9" s="52">
        <f t="shared" si="0"/>
        <v>8</v>
      </c>
    </row>
    <row r="10" spans="1:17" ht="12.75">
      <c r="A10" s="2" t="s">
        <v>152</v>
      </c>
      <c r="B10" s="172">
        <v>0.45</v>
      </c>
      <c r="C10" s="37">
        <f aca="true" t="shared" si="1" ref="C10:Q11">ROUNDUP(C$8*$B10,0)</f>
        <v>15</v>
      </c>
      <c r="D10" s="38">
        <f t="shared" si="1"/>
        <v>25</v>
      </c>
      <c r="E10" s="52">
        <f t="shared" si="1"/>
        <v>22</v>
      </c>
      <c r="F10" s="37">
        <f t="shared" si="1"/>
        <v>12</v>
      </c>
      <c r="G10" s="38">
        <f t="shared" si="1"/>
        <v>24</v>
      </c>
      <c r="H10" s="52">
        <f t="shared" si="1"/>
        <v>15</v>
      </c>
      <c r="I10" s="37">
        <f t="shared" si="1"/>
        <v>12</v>
      </c>
      <c r="J10" s="38">
        <f t="shared" si="1"/>
        <v>18</v>
      </c>
      <c r="K10" s="52">
        <f t="shared" si="1"/>
        <v>10</v>
      </c>
      <c r="L10" s="37">
        <f t="shared" si="1"/>
        <v>9</v>
      </c>
      <c r="M10" s="38">
        <f t="shared" si="1"/>
        <v>22</v>
      </c>
      <c r="N10" s="52">
        <f t="shared" si="1"/>
        <v>14</v>
      </c>
      <c r="O10" s="37">
        <f t="shared" si="1"/>
        <v>9</v>
      </c>
      <c r="P10" s="38">
        <f t="shared" si="1"/>
        <v>19</v>
      </c>
      <c r="Q10" s="52">
        <f t="shared" si="1"/>
        <v>11</v>
      </c>
    </row>
    <row r="11" spans="1:17" ht="12.75">
      <c r="A11" s="2" t="s">
        <v>34</v>
      </c>
      <c r="B11" s="172">
        <v>0.6</v>
      </c>
      <c r="C11" s="37">
        <f t="shared" si="1"/>
        <v>20</v>
      </c>
      <c r="D11" s="38">
        <f t="shared" si="1"/>
        <v>33</v>
      </c>
      <c r="E11" s="52">
        <f t="shared" si="1"/>
        <v>29</v>
      </c>
      <c r="F11" s="37">
        <f t="shared" si="1"/>
        <v>15</v>
      </c>
      <c r="G11" s="38">
        <f t="shared" si="1"/>
        <v>32</v>
      </c>
      <c r="H11" s="52">
        <f t="shared" si="1"/>
        <v>20</v>
      </c>
      <c r="I11" s="37">
        <f t="shared" si="1"/>
        <v>15</v>
      </c>
      <c r="J11" s="38">
        <f t="shared" si="1"/>
        <v>23</v>
      </c>
      <c r="K11" s="52">
        <f t="shared" si="1"/>
        <v>14</v>
      </c>
      <c r="L11" s="37">
        <f t="shared" si="1"/>
        <v>11</v>
      </c>
      <c r="M11" s="38">
        <f t="shared" si="1"/>
        <v>29</v>
      </c>
      <c r="N11" s="52">
        <f t="shared" si="1"/>
        <v>18</v>
      </c>
      <c r="O11" s="37">
        <f t="shared" si="1"/>
        <v>12</v>
      </c>
      <c r="P11" s="38">
        <f t="shared" si="1"/>
        <v>25</v>
      </c>
      <c r="Q11" s="52">
        <f t="shared" si="1"/>
        <v>15</v>
      </c>
    </row>
    <row r="12" ht="12.75">
      <c r="A12" s="3"/>
    </row>
    <row r="13" spans="1:17" ht="12.75">
      <c r="A13" s="3" t="s">
        <v>96</v>
      </c>
      <c r="C13" s="4" t="s">
        <v>144</v>
      </c>
      <c r="D13" s="5"/>
      <c r="E13" s="6"/>
      <c r="F13" s="4" t="s">
        <v>145</v>
      </c>
      <c r="G13" s="5"/>
      <c r="H13" s="6"/>
      <c r="I13" s="4" t="s">
        <v>146</v>
      </c>
      <c r="J13" s="5"/>
      <c r="K13" s="6"/>
      <c r="L13" s="4" t="s">
        <v>147</v>
      </c>
      <c r="M13" s="5"/>
      <c r="N13" s="6"/>
      <c r="O13" s="4" t="s">
        <v>148</v>
      </c>
      <c r="P13" s="5"/>
      <c r="Q13" s="6"/>
    </row>
    <row r="14" spans="1:17" ht="12.75">
      <c r="A14" s="2" t="s">
        <v>132</v>
      </c>
      <c r="C14" s="169">
        <v>0</v>
      </c>
      <c r="D14" s="170">
        <v>6</v>
      </c>
      <c r="E14" s="171">
        <v>3</v>
      </c>
      <c r="F14" s="169">
        <v>4</v>
      </c>
      <c r="G14" s="170">
        <v>10</v>
      </c>
      <c r="H14" s="171">
        <v>9</v>
      </c>
      <c r="I14" s="169">
        <v>1</v>
      </c>
      <c r="J14" s="170">
        <v>4</v>
      </c>
      <c r="K14" s="171">
        <v>1</v>
      </c>
      <c r="L14" s="169">
        <v>2</v>
      </c>
      <c r="M14" s="170">
        <v>6</v>
      </c>
      <c r="N14" s="171">
        <v>4</v>
      </c>
      <c r="O14" s="169">
        <v>3</v>
      </c>
      <c r="P14" s="170">
        <v>5</v>
      </c>
      <c r="Q14" s="171">
        <v>6</v>
      </c>
    </row>
    <row r="15" spans="1:17" ht="12.75">
      <c r="A15" s="2" t="s">
        <v>35</v>
      </c>
      <c r="B15" s="172">
        <v>0.3</v>
      </c>
      <c r="C15" s="37">
        <f>ROUNDUP(C14*$B15,0)</f>
        <v>0</v>
      </c>
      <c r="D15" s="38">
        <f aca="true" t="shared" si="2" ref="D15:Q15">ROUNDUP(D14*$B15,0)</f>
        <v>2</v>
      </c>
      <c r="E15" s="52">
        <f t="shared" si="2"/>
        <v>1</v>
      </c>
      <c r="F15" s="37">
        <f t="shared" si="2"/>
        <v>2</v>
      </c>
      <c r="G15" s="38">
        <f t="shared" si="2"/>
        <v>3</v>
      </c>
      <c r="H15" s="52">
        <f t="shared" si="2"/>
        <v>3</v>
      </c>
      <c r="I15" s="37">
        <f t="shared" si="2"/>
        <v>1</v>
      </c>
      <c r="J15" s="38">
        <f t="shared" si="2"/>
        <v>2</v>
      </c>
      <c r="K15" s="52">
        <f t="shared" si="2"/>
        <v>1</v>
      </c>
      <c r="L15" s="37">
        <f t="shared" si="2"/>
        <v>1</v>
      </c>
      <c r="M15" s="38">
        <f t="shared" si="2"/>
        <v>2</v>
      </c>
      <c r="N15" s="52">
        <f t="shared" si="2"/>
        <v>2</v>
      </c>
      <c r="O15" s="37">
        <f t="shared" si="2"/>
        <v>1</v>
      </c>
      <c r="P15" s="38">
        <f t="shared" si="2"/>
        <v>2</v>
      </c>
      <c r="Q15" s="52">
        <f t="shared" si="2"/>
        <v>2</v>
      </c>
    </row>
    <row r="16" spans="1:17" ht="12.75">
      <c r="A16" s="2" t="s">
        <v>152</v>
      </c>
      <c r="B16" s="172">
        <v>0.45</v>
      </c>
      <c r="C16" s="37">
        <f aca="true" t="shared" si="3" ref="C16:Q16">ROUNDUP(C14*$B16,0)</f>
        <v>0</v>
      </c>
      <c r="D16" s="38">
        <f t="shared" si="3"/>
        <v>3</v>
      </c>
      <c r="E16" s="52">
        <f t="shared" si="3"/>
        <v>2</v>
      </c>
      <c r="F16" s="37">
        <f t="shared" si="3"/>
        <v>2</v>
      </c>
      <c r="G16" s="38">
        <f t="shared" si="3"/>
        <v>5</v>
      </c>
      <c r="H16" s="52">
        <f t="shared" si="3"/>
        <v>5</v>
      </c>
      <c r="I16" s="37">
        <f t="shared" si="3"/>
        <v>1</v>
      </c>
      <c r="J16" s="38">
        <f t="shared" si="3"/>
        <v>2</v>
      </c>
      <c r="K16" s="52">
        <f t="shared" si="3"/>
        <v>1</v>
      </c>
      <c r="L16" s="37">
        <f t="shared" si="3"/>
        <v>1</v>
      </c>
      <c r="M16" s="38">
        <f t="shared" si="3"/>
        <v>3</v>
      </c>
      <c r="N16" s="52">
        <f t="shared" si="3"/>
        <v>2</v>
      </c>
      <c r="O16" s="37">
        <f t="shared" si="3"/>
        <v>2</v>
      </c>
      <c r="P16" s="38">
        <f t="shared" si="3"/>
        <v>3</v>
      </c>
      <c r="Q16" s="52">
        <f t="shared" si="3"/>
        <v>3</v>
      </c>
    </row>
    <row r="17" spans="1:17" ht="12.75">
      <c r="A17" s="2" t="s">
        <v>34</v>
      </c>
      <c r="B17" s="172">
        <v>0.6</v>
      </c>
      <c r="C17" s="37">
        <f aca="true" t="shared" si="4" ref="C17:Q17">ROUNDUP(C14*$B17,0)</f>
        <v>0</v>
      </c>
      <c r="D17" s="38">
        <f t="shared" si="4"/>
        <v>4</v>
      </c>
      <c r="E17" s="52">
        <f t="shared" si="4"/>
        <v>2</v>
      </c>
      <c r="F17" s="37">
        <f t="shared" si="4"/>
        <v>3</v>
      </c>
      <c r="G17" s="38">
        <f t="shared" si="4"/>
        <v>6</v>
      </c>
      <c r="H17" s="52">
        <f t="shared" si="4"/>
        <v>6</v>
      </c>
      <c r="I17" s="37">
        <f t="shared" si="4"/>
        <v>1</v>
      </c>
      <c r="J17" s="38">
        <f t="shared" si="4"/>
        <v>3</v>
      </c>
      <c r="K17" s="52">
        <f t="shared" si="4"/>
        <v>1</v>
      </c>
      <c r="L17" s="37">
        <f t="shared" si="4"/>
        <v>2</v>
      </c>
      <c r="M17" s="38">
        <f t="shared" si="4"/>
        <v>4</v>
      </c>
      <c r="N17" s="52">
        <f t="shared" si="4"/>
        <v>3</v>
      </c>
      <c r="O17" s="37">
        <f t="shared" si="4"/>
        <v>2</v>
      </c>
      <c r="P17" s="38">
        <f t="shared" si="4"/>
        <v>3</v>
      </c>
      <c r="Q17" s="52">
        <f t="shared" si="4"/>
        <v>4</v>
      </c>
    </row>
    <row r="18" ht="12.75"/>
    <row r="19" spans="1:17" ht="12.75">
      <c r="A19" s="3" t="s">
        <v>68</v>
      </c>
      <c r="C19" s="11" t="s">
        <v>144</v>
      </c>
      <c r="D19" s="53"/>
      <c r="E19" s="54"/>
      <c r="F19" s="11" t="s">
        <v>145</v>
      </c>
      <c r="G19" s="53"/>
      <c r="H19" s="54"/>
      <c r="I19" s="11" t="s">
        <v>146</v>
      </c>
      <c r="J19" s="53"/>
      <c r="K19" s="54"/>
      <c r="L19" s="11" t="s">
        <v>147</v>
      </c>
      <c r="M19" s="53"/>
      <c r="N19" s="54"/>
      <c r="O19" s="11" t="s">
        <v>148</v>
      </c>
      <c r="P19" s="53"/>
      <c r="Q19" s="54"/>
    </row>
    <row r="20" spans="1:17" ht="12.75">
      <c r="A20" s="2" t="s">
        <v>132</v>
      </c>
      <c r="C20" s="173">
        <v>8</v>
      </c>
      <c r="D20" s="174">
        <v>16</v>
      </c>
      <c r="E20" s="175">
        <v>8</v>
      </c>
      <c r="F20" s="173">
        <v>13</v>
      </c>
      <c r="G20" s="174">
        <v>25</v>
      </c>
      <c r="H20" s="175">
        <v>19</v>
      </c>
      <c r="I20" s="173">
        <v>9</v>
      </c>
      <c r="J20" s="174">
        <v>17</v>
      </c>
      <c r="K20" s="175">
        <v>13</v>
      </c>
      <c r="L20" s="173">
        <v>7</v>
      </c>
      <c r="M20" s="174">
        <v>19</v>
      </c>
      <c r="N20" s="175">
        <v>10</v>
      </c>
      <c r="O20" s="173">
        <v>11</v>
      </c>
      <c r="P20" s="174">
        <v>21</v>
      </c>
      <c r="Q20" s="175">
        <v>7</v>
      </c>
    </row>
    <row r="21" spans="1:17" ht="12.75">
      <c r="A21" s="2" t="s">
        <v>35</v>
      </c>
      <c r="B21" s="172">
        <v>0.3</v>
      </c>
      <c r="C21" s="11">
        <f aca="true" t="shared" si="5" ref="C21:Q21">ROUNDUP(C20*$B21,0)</f>
        <v>3</v>
      </c>
      <c r="D21" s="53">
        <f t="shared" si="5"/>
        <v>5</v>
      </c>
      <c r="E21" s="54">
        <f t="shared" si="5"/>
        <v>3</v>
      </c>
      <c r="F21" s="11">
        <f t="shared" si="5"/>
        <v>4</v>
      </c>
      <c r="G21" s="53">
        <f t="shared" si="5"/>
        <v>8</v>
      </c>
      <c r="H21" s="54">
        <f t="shared" si="5"/>
        <v>6</v>
      </c>
      <c r="I21" s="11">
        <f t="shared" si="5"/>
        <v>3</v>
      </c>
      <c r="J21" s="53">
        <f t="shared" si="5"/>
        <v>6</v>
      </c>
      <c r="K21" s="54">
        <f t="shared" si="5"/>
        <v>4</v>
      </c>
      <c r="L21" s="11">
        <f t="shared" si="5"/>
        <v>3</v>
      </c>
      <c r="M21" s="53">
        <f t="shared" si="5"/>
        <v>6</v>
      </c>
      <c r="N21" s="54">
        <f t="shared" si="5"/>
        <v>3</v>
      </c>
      <c r="O21" s="11">
        <f t="shared" si="5"/>
        <v>4</v>
      </c>
      <c r="P21" s="53">
        <f t="shared" si="5"/>
        <v>7</v>
      </c>
      <c r="Q21" s="54">
        <f t="shared" si="5"/>
        <v>3</v>
      </c>
    </row>
    <row r="22" spans="1:17" ht="12">
      <c r="A22" s="2" t="s">
        <v>152</v>
      </c>
      <c r="B22" s="172">
        <v>0.45</v>
      </c>
      <c r="C22" s="11">
        <f aca="true" t="shared" si="6" ref="C22:Q22">ROUNDUP(C20*$B22,0)</f>
        <v>4</v>
      </c>
      <c r="D22" s="53">
        <f t="shared" si="6"/>
        <v>8</v>
      </c>
      <c r="E22" s="54">
        <f t="shared" si="6"/>
        <v>4</v>
      </c>
      <c r="F22" s="11">
        <f t="shared" si="6"/>
        <v>6</v>
      </c>
      <c r="G22" s="53">
        <f t="shared" si="6"/>
        <v>12</v>
      </c>
      <c r="H22" s="54">
        <f t="shared" si="6"/>
        <v>9</v>
      </c>
      <c r="I22" s="11">
        <f t="shared" si="6"/>
        <v>5</v>
      </c>
      <c r="J22" s="53">
        <f t="shared" si="6"/>
        <v>8</v>
      </c>
      <c r="K22" s="54">
        <f t="shared" si="6"/>
        <v>6</v>
      </c>
      <c r="L22" s="11">
        <f t="shared" si="6"/>
        <v>4</v>
      </c>
      <c r="M22" s="53">
        <f t="shared" si="6"/>
        <v>9</v>
      </c>
      <c r="N22" s="54">
        <f t="shared" si="6"/>
        <v>5</v>
      </c>
      <c r="O22" s="11">
        <f t="shared" si="6"/>
        <v>5</v>
      </c>
      <c r="P22" s="53">
        <f t="shared" si="6"/>
        <v>10</v>
      </c>
      <c r="Q22" s="54">
        <f t="shared" si="6"/>
        <v>4</v>
      </c>
    </row>
    <row r="23" spans="1:17" ht="12">
      <c r="A23" s="2" t="s">
        <v>34</v>
      </c>
      <c r="B23" s="172">
        <v>0.6</v>
      </c>
      <c r="C23" s="11">
        <f aca="true" t="shared" si="7" ref="C23:Q23">ROUNDUP(C20*$B23,0)</f>
        <v>5</v>
      </c>
      <c r="D23" s="53">
        <f t="shared" si="7"/>
        <v>10</v>
      </c>
      <c r="E23" s="54">
        <f t="shared" si="7"/>
        <v>5</v>
      </c>
      <c r="F23" s="11">
        <f t="shared" si="7"/>
        <v>8</v>
      </c>
      <c r="G23" s="53">
        <f t="shared" si="7"/>
        <v>15</v>
      </c>
      <c r="H23" s="54">
        <f t="shared" si="7"/>
        <v>12</v>
      </c>
      <c r="I23" s="11">
        <f t="shared" si="7"/>
        <v>6</v>
      </c>
      <c r="J23" s="53">
        <f t="shared" si="7"/>
        <v>11</v>
      </c>
      <c r="K23" s="54">
        <f t="shared" si="7"/>
        <v>8</v>
      </c>
      <c r="L23" s="11">
        <f t="shared" si="7"/>
        <v>5</v>
      </c>
      <c r="M23" s="53">
        <f t="shared" si="7"/>
        <v>12</v>
      </c>
      <c r="N23" s="54">
        <f t="shared" si="7"/>
        <v>6</v>
      </c>
      <c r="O23" s="11">
        <f t="shared" si="7"/>
        <v>7</v>
      </c>
      <c r="P23" s="53">
        <f t="shared" si="7"/>
        <v>13</v>
      </c>
      <c r="Q23" s="54">
        <f t="shared" si="7"/>
        <v>5</v>
      </c>
    </row>
    <row r="24" ht="12">
      <c r="A24" s="3"/>
    </row>
    <row r="25" spans="1:17" ht="12">
      <c r="A25" s="3" t="s">
        <v>69</v>
      </c>
      <c r="C25" s="11" t="s">
        <v>144</v>
      </c>
      <c r="D25" s="53"/>
      <c r="E25" s="54"/>
      <c r="F25" s="11" t="s">
        <v>145</v>
      </c>
      <c r="G25" s="53"/>
      <c r="H25" s="54"/>
      <c r="I25" s="11" t="s">
        <v>146</v>
      </c>
      <c r="J25" s="53"/>
      <c r="K25" s="54"/>
      <c r="L25" s="11" t="s">
        <v>147</v>
      </c>
      <c r="M25" s="53"/>
      <c r="N25" s="54"/>
      <c r="O25" s="11" t="s">
        <v>148</v>
      </c>
      <c r="P25" s="53"/>
      <c r="Q25" s="54"/>
    </row>
    <row r="26" spans="1:17" ht="12">
      <c r="A26" s="2" t="s">
        <v>132</v>
      </c>
      <c r="C26" s="173">
        <v>6</v>
      </c>
      <c r="D26" s="174">
        <v>10</v>
      </c>
      <c r="E26" s="175">
        <v>7</v>
      </c>
      <c r="F26" s="173">
        <v>7</v>
      </c>
      <c r="G26" s="174">
        <v>14</v>
      </c>
      <c r="H26" s="175">
        <v>9</v>
      </c>
      <c r="I26" s="173">
        <v>5</v>
      </c>
      <c r="J26" s="174">
        <v>8</v>
      </c>
      <c r="K26" s="175">
        <v>7</v>
      </c>
      <c r="L26" s="173">
        <v>5</v>
      </c>
      <c r="M26" s="174">
        <v>10</v>
      </c>
      <c r="N26" s="175">
        <v>7</v>
      </c>
      <c r="O26" s="173">
        <v>5</v>
      </c>
      <c r="P26" s="174">
        <v>11</v>
      </c>
      <c r="Q26" s="175">
        <v>6</v>
      </c>
    </row>
    <row r="27" spans="1:17" ht="12">
      <c r="A27" s="2" t="s">
        <v>35</v>
      </c>
      <c r="B27" s="172">
        <v>0.3</v>
      </c>
      <c r="C27" s="11">
        <f aca="true" t="shared" si="8" ref="C27:Q27">ROUNDUP(C26*$B27,0)</f>
        <v>2</v>
      </c>
      <c r="D27" s="53">
        <f t="shared" si="8"/>
        <v>3</v>
      </c>
      <c r="E27" s="54">
        <f t="shared" si="8"/>
        <v>3</v>
      </c>
      <c r="F27" s="11">
        <f t="shared" si="8"/>
        <v>3</v>
      </c>
      <c r="G27" s="53">
        <f t="shared" si="8"/>
        <v>5</v>
      </c>
      <c r="H27" s="54">
        <f t="shared" si="8"/>
        <v>3</v>
      </c>
      <c r="I27" s="11">
        <f t="shared" si="8"/>
        <v>2</v>
      </c>
      <c r="J27" s="53">
        <f t="shared" si="8"/>
        <v>3</v>
      </c>
      <c r="K27" s="54">
        <f t="shared" si="8"/>
        <v>3</v>
      </c>
      <c r="L27" s="11">
        <f t="shared" si="8"/>
        <v>2</v>
      </c>
      <c r="M27" s="53">
        <f t="shared" si="8"/>
        <v>3</v>
      </c>
      <c r="N27" s="54">
        <f t="shared" si="8"/>
        <v>3</v>
      </c>
      <c r="O27" s="11">
        <f t="shared" si="8"/>
        <v>2</v>
      </c>
      <c r="P27" s="53">
        <f t="shared" si="8"/>
        <v>4</v>
      </c>
      <c r="Q27" s="54">
        <f t="shared" si="8"/>
        <v>2</v>
      </c>
    </row>
    <row r="28" spans="1:17" ht="12">
      <c r="A28" s="2" t="s">
        <v>152</v>
      </c>
      <c r="B28" s="172">
        <v>0.45</v>
      </c>
      <c r="C28" s="37">
        <f aca="true" t="shared" si="9" ref="C28:Q28">ROUNDUP(C26*$B28,0)</f>
        <v>3</v>
      </c>
      <c r="D28" s="38">
        <f t="shared" si="9"/>
        <v>5</v>
      </c>
      <c r="E28" s="52">
        <f t="shared" si="9"/>
        <v>4</v>
      </c>
      <c r="F28" s="37">
        <f t="shared" si="9"/>
        <v>4</v>
      </c>
      <c r="G28" s="38">
        <f t="shared" si="9"/>
        <v>7</v>
      </c>
      <c r="H28" s="52">
        <f t="shared" si="9"/>
        <v>5</v>
      </c>
      <c r="I28" s="37">
        <f t="shared" si="9"/>
        <v>3</v>
      </c>
      <c r="J28" s="38">
        <f t="shared" si="9"/>
        <v>4</v>
      </c>
      <c r="K28" s="52">
        <f t="shared" si="9"/>
        <v>4</v>
      </c>
      <c r="L28" s="37">
        <f t="shared" si="9"/>
        <v>3</v>
      </c>
      <c r="M28" s="38">
        <f t="shared" si="9"/>
        <v>5</v>
      </c>
      <c r="N28" s="52">
        <f t="shared" si="9"/>
        <v>4</v>
      </c>
      <c r="O28" s="37">
        <f t="shared" si="9"/>
        <v>3</v>
      </c>
      <c r="P28" s="38">
        <f t="shared" si="9"/>
        <v>5</v>
      </c>
      <c r="Q28" s="52">
        <f t="shared" si="9"/>
        <v>3</v>
      </c>
    </row>
    <row r="29" spans="1:17" ht="12">
      <c r="A29" s="2" t="s">
        <v>34</v>
      </c>
      <c r="B29" s="172">
        <v>0.6</v>
      </c>
      <c r="C29" s="37">
        <f aca="true" t="shared" si="10" ref="C29:Q29">ROUNDUP(C26*$B29,0)</f>
        <v>4</v>
      </c>
      <c r="D29" s="38">
        <f t="shared" si="10"/>
        <v>6</v>
      </c>
      <c r="E29" s="52">
        <f t="shared" si="10"/>
        <v>5</v>
      </c>
      <c r="F29" s="37">
        <f t="shared" si="10"/>
        <v>5</v>
      </c>
      <c r="G29" s="38">
        <f t="shared" si="10"/>
        <v>9</v>
      </c>
      <c r="H29" s="52">
        <f t="shared" si="10"/>
        <v>6</v>
      </c>
      <c r="I29" s="37">
        <f t="shared" si="10"/>
        <v>3</v>
      </c>
      <c r="J29" s="38">
        <f t="shared" si="10"/>
        <v>5</v>
      </c>
      <c r="K29" s="52">
        <f t="shared" si="10"/>
        <v>5</v>
      </c>
      <c r="L29" s="37">
        <f t="shared" si="10"/>
        <v>3</v>
      </c>
      <c r="M29" s="38">
        <f t="shared" si="10"/>
        <v>6</v>
      </c>
      <c r="N29" s="52">
        <f t="shared" si="10"/>
        <v>5</v>
      </c>
      <c r="O29" s="37">
        <f t="shared" si="10"/>
        <v>3</v>
      </c>
      <c r="P29" s="38">
        <f t="shared" si="10"/>
        <v>7</v>
      </c>
      <c r="Q29" s="52">
        <f t="shared" si="10"/>
        <v>4</v>
      </c>
    </row>
    <row r="31" spans="1:17" ht="12">
      <c r="A31" s="3" t="s">
        <v>70</v>
      </c>
      <c r="C31" s="4" t="s">
        <v>82</v>
      </c>
      <c r="D31" s="5"/>
      <c r="E31" s="6"/>
      <c r="F31" s="4" t="s">
        <v>83</v>
      </c>
      <c r="G31" s="5"/>
      <c r="H31" s="6"/>
      <c r="I31" s="4" t="s">
        <v>85</v>
      </c>
      <c r="J31" s="5"/>
      <c r="K31" s="6"/>
      <c r="L31" s="4" t="s">
        <v>84</v>
      </c>
      <c r="M31" s="5"/>
      <c r="N31" s="6"/>
      <c r="O31" s="4" t="s">
        <v>81</v>
      </c>
      <c r="P31" s="5"/>
      <c r="Q31" s="6"/>
    </row>
    <row r="32" spans="1:17" ht="12">
      <c r="A32" s="3" t="s">
        <v>88</v>
      </c>
      <c r="C32" s="37"/>
      <c r="D32" s="176">
        <v>2</v>
      </c>
      <c r="E32" s="52"/>
      <c r="F32" s="37"/>
      <c r="G32" s="176">
        <v>2</v>
      </c>
      <c r="H32" s="52"/>
      <c r="I32" s="37"/>
      <c r="J32" s="176">
        <v>3</v>
      </c>
      <c r="K32" s="52"/>
      <c r="L32" s="37"/>
      <c r="M32" s="176">
        <v>1</v>
      </c>
      <c r="N32" s="52"/>
      <c r="O32" s="37"/>
      <c r="P32" s="38">
        <f>D32+G32+J32+M32</f>
        <v>8</v>
      </c>
      <c r="Q32" s="52"/>
    </row>
    <row r="33" spans="1:17" ht="12">
      <c r="A33" s="2" t="s">
        <v>116</v>
      </c>
      <c r="C33" s="7"/>
      <c r="D33" s="174">
        <v>40</v>
      </c>
      <c r="E33" s="34"/>
      <c r="F33" s="7"/>
      <c r="G33" s="174">
        <v>36</v>
      </c>
      <c r="H33" s="34"/>
      <c r="I33" s="7"/>
      <c r="J33" s="174">
        <v>43</v>
      </c>
      <c r="K33" s="34"/>
      <c r="L33" s="7"/>
      <c r="M33" s="174">
        <v>31</v>
      </c>
      <c r="N33" s="34"/>
      <c r="O33" s="7"/>
      <c r="P33" s="8"/>
      <c r="Q33" s="34"/>
    </row>
    <row r="34" spans="1:17" ht="12">
      <c r="A34" s="2" t="s">
        <v>117</v>
      </c>
      <c r="C34" s="7"/>
      <c r="D34" s="174">
        <v>7</v>
      </c>
      <c r="E34" s="34"/>
      <c r="F34" s="7"/>
      <c r="G34" s="174">
        <v>7</v>
      </c>
      <c r="H34" s="34"/>
      <c r="I34" s="7"/>
      <c r="J34" s="174">
        <v>4</v>
      </c>
      <c r="K34" s="34"/>
      <c r="L34" s="7"/>
      <c r="M34" s="174">
        <v>3</v>
      </c>
      <c r="N34" s="34"/>
      <c r="O34" s="7"/>
      <c r="P34" s="8"/>
      <c r="Q34" s="34"/>
    </row>
    <row r="35" spans="1:17" ht="12">
      <c r="A35" s="2" t="s">
        <v>3</v>
      </c>
      <c r="C35" s="7"/>
      <c r="D35" s="174">
        <v>11</v>
      </c>
      <c r="E35" s="34"/>
      <c r="F35" s="7"/>
      <c r="G35" s="174">
        <v>8</v>
      </c>
      <c r="H35" s="34"/>
      <c r="I35" s="7"/>
      <c r="J35" s="174">
        <v>11</v>
      </c>
      <c r="K35" s="34"/>
      <c r="L35" s="7"/>
      <c r="M35" s="174">
        <v>9</v>
      </c>
      <c r="N35" s="34"/>
      <c r="O35" s="7" t="s">
        <v>86</v>
      </c>
      <c r="P35" s="8"/>
      <c r="Q35" s="34"/>
    </row>
    <row r="36" spans="1:17" ht="12">
      <c r="A36" s="2" t="s">
        <v>4</v>
      </c>
      <c r="C36" s="7"/>
      <c r="D36" s="174">
        <v>7</v>
      </c>
      <c r="E36" s="34"/>
      <c r="F36" s="7"/>
      <c r="G36" s="174">
        <v>10</v>
      </c>
      <c r="H36" s="34"/>
      <c r="I36" s="7"/>
      <c r="J36" s="174">
        <v>10</v>
      </c>
      <c r="K36" s="34"/>
      <c r="L36" s="7"/>
      <c r="M36" s="174">
        <v>9</v>
      </c>
      <c r="N36" s="34"/>
      <c r="O36" s="37" t="s">
        <v>87</v>
      </c>
      <c r="P36" s="8"/>
      <c r="Q36" s="34"/>
    </row>
    <row r="37" spans="1:17" ht="12">
      <c r="A37" s="2" t="s">
        <v>81</v>
      </c>
      <c r="C37" s="11"/>
      <c r="D37" s="53">
        <f>SUM(D33:D36)</f>
        <v>65</v>
      </c>
      <c r="E37" s="54"/>
      <c r="F37" s="11"/>
      <c r="G37" s="53">
        <f>SUM(G33:G36)</f>
        <v>61</v>
      </c>
      <c r="H37" s="54"/>
      <c r="I37" s="11"/>
      <c r="J37" s="53">
        <f>SUM(J33:J36)</f>
        <v>68</v>
      </c>
      <c r="K37" s="54"/>
      <c r="L37" s="11"/>
      <c r="M37" s="53">
        <f>SUM(M33:M36)</f>
        <v>52</v>
      </c>
      <c r="N37" s="54"/>
      <c r="O37" s="37"/>
      <c r="P37" s="53">
        <f>(D37*D32+G37*G32+J37*J32+M37*M32)/P32</f>
        <v>63.5</v>
      </c>
      <c r="Q37" s="54"/>
    </row>
    <row r="38" spans="1:17" ht="12">
      <c r="A38" s="2" t="s">
        <v>35</v>
      </c>
      <c r="B38" s="172">
        <v>0.3</v>
      </c>
      <c r="C38" s="11"/>
      <c r="D38" s="53">
        <f>ROUNDUP(D37*$B38,0)</f>
        <v>20</v>
      </c>
      <c r="E38" s="54"/>
      <c r="F38" s="11"/>
      <c r="G38" s="53">
        <f>ROUNDUP(G37*$B38,0)</f>
        <v>19</v>
      </c>
      <c r="H38" s="54"/>
      <c r="I38" s="11"/>
      <c r="J38" s="53">
        <f>ROUNDUP(J37*$B38,0)</f>
        <v>21</v>
      </c>
      <c r="K38" s="54"/>
      <c r="L38" s="11"/>
      <c r="M38" s="53">
        <f>ROUNDUP(M37*$B38,0)</f>
        <v>16</v>
      </c>
      <c r="N38" s="54"/>
      <c r="O38" s="11"/>
      <c r="P38" s="53">
        <f>ROUNDUP(P$37*$B38,0)</f>
        <v>20</v>
      </c>
      <c r="Q38" s="54"/>
    </row>
    <row r="39" spans="1:17" ht="12">
      <c r="A39" s="2" t="s">
        <v>152</v>
      </c>
      <c r="B39" s="172">
        <v>0.45</v>
      </c>
      <c r="C39" s="11"/>
      <c r="D39" s="38">
        <f>ROUNDUP(D37*$B39,0)</f>
        <v>30</v>
      </c>
      <c r="E39" s="54"/>
      <c r="F39" s="11"/>
      <c r="G39" s="38">
        <f>ROUNDUP(G37*$B39,0)</f>
        <v>28</v>
      </c>
      <c r="H39" s="54"/>
      <c r="I39" s="11"/>
      <c r="J39" s="38">
        <f>ROUNDUP(J37*$B39,0)</f>
        <v>31</v>
      </c>
      <c r="K39" s="54"/>
      <c r="L39" s="11"/>
      <c r="M39" s="38">
        <f>ROUNDUP(M37*$B39,0)</f>
        <v>24</v>
      </c>
      <c r="N39" s="54"/>
      <c r="O39" s="11"/>
      <c r="P39" s="53">
        <f>ROUNDUP(P$37*$B39,0)</f>
        <v>29</v>
      </c>
      <c r="Q39" s="54"/>
    </row>
    <row r="40" spans="1:17" ht="12">
      <c r="A40" s="2" t="s">
        <v>34</v>
      </c>
      <c r="B40" s="172">
        <v>0.6</v>
      </c>
      <c r="C40" s="11"/>
      <c r="D40" s="38">
        <f>ROUNDUP(D37*$B40,0)</f>
        <v>39</v>
      </c>
      <c r="E40" s="54"/>
      <c r="F40" s="11"/>
      <c r="G40" s="38">
        <f>ROUNDUP(G37*$B40,0)</f>
        <v>37</v>
      </c>
      <c r="H40" s="54"/>
      <c r="I40" s="11"/>
      <c r="J40" s="38">
        <f>ROUNDUP(J37*$B40,0)</f>
        <v>41</v>
      </c>
      <c r="K40" s="54"/>
      <c r="L40" s="11"/>
      <c r="M40" s="38">
        <f>ROUNDUP(M37*$B40,0)</f>
        <v>32</v>
      </c>
      <c r="N40" s="54"/>
      <c r="O40" s="11"/>
      <c r="P40" s="53">
        <f>ROUNDUP(P$37*$B40,0)</f>
        <v>39</v>
      </c>
      <c r="Q40" s="54"/>
    </row>
    <row r="66" ht="12">
      <c r="A66"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3.xml><?xml version="1.0" encoding="utf-8"?>
<worksheet xmlns="http://schemas.openxmlformats.org/spreadsheetml/2006/main" xmlns:r="http://schemas.openxmlformats.org/officeDocument/2006/relationships">
  <dimension ref="A1:V62"/>
  <sheetViews>
    <sheetView workbookViewId="0" topLeftCell="A1">
      <selection activeCell="Y20" sqref="Y20"/>
    </sheetView>
  </sheetViews>
  <sheetFormatPr defaultColWidth="11.00390625" defaultRowHeight="12"/>
  <cols>
    <col min="1" max="1" width="16.375" style="2" customWidth="1"/>
    <col min="2" max="2" width="7.875" style="2" customWidth="1"/>
    <col min="3" max="3" width="8.50390625" style="2" bestFit="1" customWidth="1"/>
    <col min="4" max="4" width="4.625" style="2" bestFit="1" customWidth="1"/>
    <col min="5" max="19" width="4.375" style="2" customWidth="1"/>
    <col min="20" max="20" width="8.875" style="2" bestFit="1" customWidth="1"/>
    <col min="21" max="21" width="7.00390625" style="2" customWidth="1"/>
    <col min="22" max="16384" width="10.875" style="2" customWidth="1"/>
  </cols>
  <sheetData>
    <row r="1" spans="1:21" ht="12.75">
      <c r="A1" s="2" t="str">
        <f>Eckwerte!A1</f>
        <v>Budget freiwillige Tagesschule</v>
      </c>
      <c r="T1" s="13"/>
      <c r="U1" s="13"/>
    </row>
    <row r="2" ht="12.75"/>
    <row r="3" ht="15.75">
      <c r="A3" s="1"/>
    </row>
    <row r="4" spans="1:21" s="1" customFormat="1" ht="15.75">
      <c r="A4" s="1" t="s">
        <v>74</v>
      </c>
      <c r="U4" s="3"/>
    </row>
    <row r="5" ht="12.75">
      <c r="U5" s="3"/>
    </row>
    <row r="6" spans="3:21" ht="12.75">
      <c r="C6" s="12"/>
      <c r="U6" s="3"/>
    </row>
    <row r="7" spans="3:21" ht="12.75">
      <c r="C7" s="15"/>
      <c r="U7" s="3"/>
    </row>
    <row r="8" ht="12.75"/>
    <row r="9" spans="1:20" ht="12.75">
      <c r="A9" s="4"/>
      <c r="B9" s="5"/>
      <c r="C9" s="5"/>
      <c r="D9" s="5"/>
      <c r="E9" s="4"/>
      <c r="F9" s="5"/>
      <c r="G9" s="6"/>
      <c r="H9" s="4"/>
      <c r="I9" s="5"/>
      <c r="J9" s="6"/>
      <c r="K9" s="4"/>
      <c r="L9" s="5"/>
      <c r="M9" s="6"/>
      <c r="N9" s="4"/>
      <c r="O9" s="5"/>
      <c r="P9" s="6"/>
      <c r="Q9" s="4"/>
      <c r="R9" s="5"/>
      <c r="S9" s="6"/>
      <c r="T9" s="108"/>
    </row>
    <row r="10" spans="1:20" ht="186">
      <c r="A10" s="7" t="s">
        <v>119</v>
      </c>
      <c r="B10" s="8" t="s">
        <v>155</v>
      </c>
      <c r="C10" s="9" t="s">
        <v>156</v>
      </c>
      <c r="D10" s="10" t="s">
        <v>154</v>
      </c>
      <c r="E10" s="22"/>
      <c r="F10" s="23"/>
      <c r="G10" s="61"/>
      <c r="H10" s="22"/>
      <c r="I10" s="23"/>
      <c r="J10" s="61"/>
      <c r="K10" s="22"/>
      <c r="L10" s="23"/>
      <c r="M10" s="61"/>
      <c r="N10" s="22"/>
      <c r="O10" s="23"/>
      <c r="P10" s="61"/>
      <c r="Q10" s="22"/>
      <c r="R10" s="23"/>
      <c r="S10" s="61"/>
      <c r="T10" s="177" t="s">
        <v>128</v>
      </c>
    </row>
    <row r="11" spans="1:21" s="21" customFormat="1" ht="19.5" customHeight="1">
      <c r="A11" s="184" t="s">
        <v>130</v>
      </c>
      <c r="B11" s="178">
        <v>0.2916666666666667</v>
      </c>
      <c r="C11" s="179">
        <v>0.34027777777777773</v>
      </c>
      <c r="D11" s="20">
        <f aca="true" t="shared" si="0" ref="D11:D16">24*(C11-B11)</f>
        <v>1.1666666666666652</v>
      </c>
      <c r="E11" s="25"/>
      <c r="F11" s="26"/>
      <c r="G11" s="27"/>
      <c r="H11" s="25"/>
      <c r="I11" s="26"/>
      <c r="J11" s="27"/>
      <c r="K11" s="25"/>
      <c r="L11" s="26"/>
      <c r="M11" s="27"/>
      <c r="N11" s="25"/>
      <c r="O11" s="26"/>
      <c r="P11" s="27"/>
      <c r="Q11" s="25"/>
      <c r="R11" s="26"/>
      <c r="S11" s="27"/>
      <c r="T11" s="181">
        <v>0.1</v>
      </c>
      <c r="U11" s="15"/>
    </row>
    <row r="12" spans="1:21" s="21" customFormat="1" ht="19.5" customHeight="1">
      <c r="A12" s="184" t="s">
        <v>118</v>
      </c>
      <c r="B12" s="18">
        <f>C11</f>
        <v>0.34027777777777773</v>
      </c>
      <c r="C12" s="179">
        <v>0.4166666666666667</v>
      </c>
      <c r="D12" s="20">
        <f t="shared" si="0"/>
        <v>1.8333333333333348</v>
      </c>
      <c r="E12" s="25"/>
      <c r="F12" s="26"/>
      <c r="G12" s="27"/>
      <c r="H12" s="25"/>
      <c r="I12" s="26"/>
      <c r="J12" s="27"/>
      <c r="K12" s="25"/>
      <c r="L12" s="26"/>
      <c r="M12" s="27"/>
      <c r="N12" s="25"/>
      <c r="O12" s="26"/>
      <c r="P12" s="27"/>
      <c r="Q12" s="25"/>
      <c r="R12" s="26"/>
      <c r="S12" s="27"/>
      <c r="T12" s="181">
        <v>0</v>
      </c>
      <c r="U12" s="15"/>
    </row>
    <row r="13" spans="1:21" s="21" customFormat="1" ht="19.5" customHeight="1">
      <c r="A13" s="184" t="s">
        <v>131</v>
      </c>
      <c r="B13" s="18">
        <f>C12</f>
        <v>0.4166666666666667</v>
      </c>
      <c r="C13" s="179">
        <v>0.4791666666666667</v>
      </c>
      <c r="D13" s="20">
        <f t="shared" si="0"/>
        <v>1.5</v>
      </c>
      <c r="E13" s="25"/>
      <c r="F13" s="26"/>
      <c r="G13" s="27"/>
      <c r="H13" s="25"/>
      <c r="I13" s="26"/>
      <c r="J13" s="27"/>
      <c r="K13" s="25"/>
      <c r="L13" s="26"/>
      <c r="M13" s="27"/>
      <c r="N13" s="25"/>
      <c r="O13" s="26"/>
      <c r="P13" s="27"/>
      <c r="Q13" s="25"/>
      <c r="R13" s="26"/>
      <c r="S13" s="27"/>
      <c r="T13" s="181">
        <v>0.18</v>
      </c>
      <c r="U13" s="15"/>
    </row>
    <row r="14" spans="1:21" s="21" customFormat="1" ht="19.5" customHeight="1">
      <c r="A14" s="184" t="s">
        <v>153</v>
      </c>
      <c r="B14" s="18">
        <f>C13</f>
        <v>0.4791666666666667</v>
      </c>
      <c r="C14" s="179">
        <v>0.5625</v>
      </c>
      <c r="D14" s="20">
        <f t="shared" si="0"/>
        <v>1.9999999999999996</v>
      </c>
      <c r="E14" s="25"/>
      <c r="F14" s="26"/>
      <c r="G14" s="27"/>
      <c r="H14" s="25"/>
      <c r="I14" s="26"/>
      <c r="J14" s="27"/>
      <c r="K14" s="25"/>
      <c r="L14" s="26"/>
      <c r="M14" s="27"/>
      <c r="N14" s="25"/>
      <c r="O14" s="26"/>
      <c r="P14" s="27"/>
      <c r="Q14" s="25"/>
      <c r="R14" s="26"/>
      <c r="S14" s="27"/>
      <c r="T14" s="181">
        <v>0.32</v>
      </c>
      <c r="U14" s="15"/>
    </row>
    <row r="15" spans="1:21" s="21" customFormat="1" ht="19.5" customHeight="1">
      <c r="A15" s="185" t="s">
        <v>75</v>
      </c>
      <c r="B15" s="29">
        <f>C14</f>
        <v>0.5625</v>
      </c>
      <c r="C15" s="180">
        <v>0.6666666666666666</v>
      </c>
      <c r="D15" s="31">
        <f t="shared" si="0"/>
        <v>2.499999999999999</v>
      </c>
      <c r="E15" s="41"/>
      <c r="F15" s="42"/>
      <c r="G15" s="43"/>
      <c r="H15" s="41"/>
      <c r="I15" s="42"/>
      <c r="J15" s="43"/>
      <c r="K15" s="41"/>
      <c r="L15" s="42"/>
      <c r="M15" s="43"/>
      <c r="N15" s="41"/>
      <c r="O15" s="42"/>
      <c r="P15" s="43"/>
      <c r="Q15" s="41"/>
      <c r="R15" s="42"/>
      <c r="S15" s="43"/>
      <c r="T15" s="181">
        <v>0.22</v>
      </c>
      <c r="U15" s="15"/>
    </row>
    <row r="16" spans="1:22" s="21" customFormat="1" ht="19.5" customHeight="1" thickBot="1">
      <c r="A16" s="185" t="s">
        <v>58</v>
      </c>
      <c r="B16" s="29">
        <f>C15</f>
        <v>0.6666666666666666</v>
      </c>
      <c r="C16" s="180">
        <v>0.75</v>
      </c>
      <c r="D16" s="31">
        <f t="shared" si="0"/>
        <v>2.000000000000001</v>
      </c>
      <c r="E16" s="41"/>
      <c r="F16" s="42"/>
      <c r="G16" s="43"/>
      <c r="H16" s="41"/>
      <c r="I16" s="42"/>
      <c r="J16" s="43"/>
      <c r="K16" s="41"/>
      <c r="L16" s="42"/>
      <c r="M16" s="43"/>
      <c r="N16" s="41"/>
      <c r="O16" s="42"/>
      <c r="P16" s="43"/>
      <c r="Q16" s="41"/>
      <c r="R16" s="42"/>
      <c r="S16" s="43"/>
      <c r="T16" s="182">
        <v>0.18</v>
      </c>
      <c r="U16" s="15"/>
      <c r="V16" s="183"/>
    </row>
    <row r="17" spans="1:21" ht="12.75" thickTop="1">
      <c r="A17" s="55"/>
      <c r="B17" s="56"/>
      <c r="C17" s="57"/>
      <c r="D17" s="58"/>
      <c r="E17" s="62"/>
      <c r="F17" s="63"/>
      <c r="G17" s="64"/>
      <c r="H17" s="62"/>
      <c r="I17" s="63"/>
      <c r="J17" s="64"/>
      <c r="K17" s="62"/>
      <c r="L17" s="63"/>
      <c r="M17" s="64"/>
      <c r="N17" s="62"/>
      <c r="O17" s="63"/>
      <c r="P17" s="64"/>
      <c r="Q17" s="62"/>
      <c r="R17" s="63"/>
      <c r="S17" s="186" t="s">
        <v>49</v>
      </c>
      <c r="T17" s="187">
        <f>SUM(T11:T16)</f>
        <v>1</v>
      </c>
      <c r="U17" s="129"/>
    </row>
    <row r="18" spans="1:21" ht="16.5">
      <c r="A18" s="32"/>
      <c r="B18" s="33"/>
      <c r="C18" s="8"/>
      <c r="D18" s="306"/>
      <c r="E18" s="44"/>
      <c r="F18" s="45"/>
      <c r="G18" s="46"/>
      <c r="H18" s="44"/>
      <c r="I18" s="45"/>
      <c r="J18" s="46"/>
      <c r="K18" s="44"/>
      <c r="L18" s="45"/>
      <c r="M18" s="46"/>
      <c r="N18" s="44"/>
      <c r="O18" s="45"/>
      <c r="P18" s="46"/>
      <c r="Q18" s="44"/>
      <c r="R18" s="45"/>
      <c r="S18" s="46"/>
      <c r="T18" s="188">
        <f>IF(T17=1,"","Fehler: Summe muss 100 % sein!")</f>
      </c>
      <c r="U18" s="129"/>
    </row>
    <row r="19" spans="1:21" ht="12">
      <c r="A19" s="32"/>
      <c r="B19" s="33"/>
      <c r="C19" s="8"/>
      <c r="D19" s="34"/>
      <c r="E19" s="44"/>
      <c r="F19" s="45"/>
      <c r="G19" s="46"/>
      <c r="H19" s="44"/>
      <c r="I19" s="45"/>
      <c r="J19" s="46"/>
      <c r="K19" s="44"/>
      <c r="L19" s="45"/>
      <c r="M19" s="46"/>
      <c r="N19" s="44"/>
      <c r="O19" s="45"/>
      <c r="P19" s="46"/>
      <c r="Q19" s="44"/>
      <c r="R19" s="45"/>
      <c r="S19" s="46"/>
      <c r="T19" s="50"/>
      <c r="U19" s="129"/>
    </row>
    <row r="20" spans="1:20" ht="12">
      <c r="A20" s="37"/>
      <c r="B20" s="38"/>
      <c r="C20" s="39"/>
      <c r="D20" s="40"/>
      <c r="E20" s="47"/>
      <c r="F20" s="48"/>
      <c r="G20" s="49"/>
      <c r="H20" s="47"/>
      <c r="I20" s="48"/>
      <c r="J20" s="49"/>
      <c r="K20" s="47"/>
      <c r="L20" s="48"/>
      <c r="M20" s="49"/>
      <c r="N20" s="47"/>
      <c r="O20" s="48"/>
      <c r="P20" s="49"/>
      <c r="Q20" s="47"/>
      <c r="R20" s="48"/>
      <c r="S20" s="49"/>
      <c r="T20" s="51"/>
    </row>
    <row r="21" spans="3:4" ht="12">
      <c r="C21" s="14"/>
      <c r="D21" s="14"/>
    </row>
    <row r="22" spans="3:4" ht="12">
      <c r="C22" s="14"/>
      <c r="D22" s="14"/>
    </row>
    <row r="23" spans="3:4" ht="12">
      <c r="C23" s="14"/>
      <c r="D23" s="14"/>
    </row>
    <row r="24" spans="3:4" ht="12">
      <c r="C24" s="14"/>
      <c r="D24" s="14"/>
    </row>
    <row r="25" spans="3:4" ht="12">
      <c r="C25" s="14"/>
      <c r="D25" s="14"/>
    </row>
    <row r="26" spans="3:4" ht="12">
      <c r="C26" s="14"/>
      <c r="D26" s="14"/>
    </row>
    <row r="27" spans="3:5" ht="12">
      <c r="C27" s="14"/>
      <c r="D27" s="14"/>
      <c r="E27" s="15"/>
    </row>
    <row r="28" spans="3:4" ht="12">
      <c r="C28" s="14"/>
      <c r="D28" s="14"/>
    </row>
    <row r="29" spans="3:5" ht="12">
      <c r="C29" s="14"/>
      <c r="D29" s="14"/>
      <c r="E29" s="16"/>
    </row>
    <row r="30" spans="3:5" ht="12">
      <c r="C30" s="14"/>
      <c r="D30" s="14"/>
      <c r="E30" s="16"/>
    </row>
    <row r="31" spans="3:4" ht="12">
      <c r="C31" s="14"/>
      <c r="D31" s="14"/>
    </row>
    <row r="62" ht="12">
      <c r="A62"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4.xml><?xml version="1.0" encoding="utf-8"?>
<worksheet xmlns="http://schemas.openxmlformats.org/spreadsheetml/2006/main" xmlns:r="http://schemas.openxmlformats.org/officeDocument/2006/relationships">
  <dimension ref="A1:U63"/>
  <sheetViews>
    <sheetView workbookViewId="0" topLeftCell="A1">
      <selection activeCell="E20" sqref="E20"/>
    </sheetView>
  </sheetViews>
  <sheetFormatPr defaultColWidth="11.00390625" defaultRowHeight="12"/>
  <cols>
    <col min="1" max="1" width="16.375" style="2" customWidth="1"/>
    <col min="2" max="2" width="6.625" style="2" customWidth="1"/>
    <col min="3" max="3" width="8.50390625" style="2" bestFit="1" customWidth="1"/>
    <col min="4" max="4" width="4.625" style="2" bestFit="1" customWidth="1"/>
    <col min="5" max="19" width="4.375" style="2" customWidth="1"/>
    <col min="20" max="20" width="8.875" style="2" bestFit="1" customWidth="1"/>
    <col min="21" max="21" width="7.00390625" style="2" customWidth="1"/>
    <col min="22" max="16384" width="10.875" style="2" customWidth="1"/>
  </cols>
  <sheetData>
    <row r="1" spans="1:21" ht="12.75">
      <c r="A1" s="2" t="str">
        <f>Eckwerte!A1</f>
        <v>Budget freiwillige Tagesschule</v>
      </c>
      <c r="T1" s="13"/>
      <c r="U1" s="13"/>
    </row>
    <row r="2" ht="12.75"/>
    <row r="3" ht="15.75">
      <c r="A3" s="1"/>
    </row>
    <row r="4" spans="1:21" s="1" customFormat="1" ht="15.75">
      <c r="A4" s="1" t="s">
        <v>127</v>
      </c>
      <c r="H4" s="1" t="str">
        <f>CONCATENATE(Eckwerte!$B$7&amp;". Betriebsjahr")</f>
        <v>1. Betriebsjahr</v>
      </c>
      <c r="U4" s="3"/>
    </row>
    <row r="5" spans="1:21" ht="12.75">
      <c r="A5" s="2" t="s">
        <v>25</v>
      </c>
      <c r="C5" s="202">
        <v>20</v>
      </c>
      <c r="F5" s="2" t="s">
        <v>121</v>
      </c>
      <c r="P5" s="202">
        <v>1</v>
      </c>
      <c r="U5" s="3"/>
    </row>
    <row r="6" spans="1:21" ht="12.75">
      <c r="A6" s="2" t="s">
        <v>17</v>
      </c>
      <c r="C6" s="12">
        <f>T20</f>
        <v>10.719999999999999</v>
      </c>
      <c r="F6" s="2" t="s">
        <v>98</v>
      </c>
      <c r="P6" s="202">
        <v>2</v>
      </c>
      <c r="U6" s="3"/>
    </row>
    <row r="7" spans="1:21" ht="12.75">
      <c r="A7" s="2" t="s">
        <v>18</v>
      </c>
      <c r="C7" s="15">
        <f>C6/C5</f>
        <v>0.5359999999999999</v>
      </c>
      <c r="U7" s="3"/>
    </row>
    <row r="8" ht="12.75"/>
    <row r="9" spans="1:20" ht="12.75">
      <c r="A9" s="4"/>
      <c r="B9" s="5"/>
      <c r="C9" s="5"/>
      <c r="D9" s="5"/>
      <c r="E9" s="4" t="s">
        <v>144</v>
      </c>
      <c r="F9" s="5"/>
      <c r="G9" s="6"/>
      <c r="H9" s="4" t="s">
        <v>145</v>
      </c>
      <c r="I9" s="5"/>
      <c r="J9" s="6"/>
      <c r="K9" s="4" t="s">
        <v>146</v>
      </c>
      <c r="L9" s="5"/>
      <c r="M9" s="6"/>
      <c r="N9" s="4" t="s">
        <v>147</v>
      </c>
      <c r="O9" s="5"/>
      <c r="P9" s="6"/>
      <c r="Q9" s="4" t="s">
        <v>148</v>
      </c>
      <c r="R9" s="5"/>
      <c r="S9" s="6"/>
      <c r="T9" s="108"/>
    </row>
    <row r="10" spans="1:20" ht="186">
      <c r="A10" s="7"/>
      <c r="B10" s="8" t="s">
        <v>155</v>
      </c>
      <c r="C10" s="9" t="s">
        <v>156</v>
      </c>
      <c r="D10" s="10" t="s">
        <v>154</v>
      </c>
      <c r="E10" s="203" t="s">
        <v>15</v>
      </c>
      <c r="F10" s="204" t="s">
        <v>26</v>
      </c>
      <c r="G10" s="205" t="s">
        <v>92</v>
      </c>
      <c r="H10" s="22" t="str">
        <f>$E10</f>
        <v>Anzahl Kinder</v>
      </c>
      <c r="I10" s="23" t="str">
        <f>$F10</f>
        <v>qualifizierte Betreuungsperson</v>
      </c>
      <c r="J10" s="61" t="str">
        <f>$G10</f>
        <v>pädagogisch geeignete Person</v>
      </c>
      <c r="K10" s="22" t="str">
        <f>$E10</f>
        <v>Anzahl Kinder</v>
      </c>
      <c r="L10" s="23" t="str">
        <f>$F10</f>
        <v>qualifizierte Betreuungsperson</v>
      </c>
      <c r="M10" s="61" t="str">
        <f>$G10</f>
        <v>pädagogisch geeignete Person</v>
      </c>
      <c r="N10" s="22" t="str">
        <f>$E10</f>
        <v>Anzahl Kinder</v>
      </c>
      <c r="O10" s="23" t="str">
        <f>$F10</f>
        <v>qualifizierte Betreuungsperson</v>
      </c>
      <c r="P10" s="61" t="str">
        <f>$G10</f>
        <v>pädagogisch geeignete Person</v>
      </c>
      <c r="Q10" s="22" t="str">
        <f>$E10</f>
        <v>Anzahl Kinder</v>
      </c>
      <c r="R10" s="23" t="str">
        <f>$F10</f>
        <v>qualifizierte Betreuungsperson</v>
      </c>
      <c r="S10" s="61" t="str">
        <f>$G10</f>
        <v>pädagogisch geeignete Person</v>
      </c>
      <c r="T10" s="177" t="s">
        <v>128</v>
      </c>
    </row>
    <row r="11" spans="1:21" s="21" customFormat="1" ht="19.5" customHeight="1">
      <c r="A11" s="17" t="str">
        <f>Einsatzplan_Vorlage!A11</f>
        <v>Vormittag 1</v>
      </c>
      <c r="B11" s="18">
        <f>Einsatzplan_Vorlage!B11</f>
        <v>0.2916666666666667</v>
      </c>
      <c r="C11" s="18">
        <f>Einsatzplan_Vorlage!C11</f>
        <v>0.34027777777777773</v>
      </c>
      <c r="D11" s="20">
        <f aca="true" t="shared" si="0" ref="D11:D16">24*(C11-B11)</f>
        <v>1.1666666666666652</v>
      </c>
      <c r="E11" s="194">
        <f>Nachfrage!C9</f>
        <v>10</v>
      </c>
      <c r="F11" s="195"/>
      <c r="G11" s="196">
        <v>1</v>
      </c>
      <c r="H11" s="194">
        <f>Nachfrage!F9</f>
        <v>8</v>
      </c>
      <c r="I11" s="195"/>
      <c r="J11" s="196">
        <v>1</v>
      </c>
      <c r="K11" s="194">
        <f>Nachfrage!I9</f>
        <v>8</v>
      </c>
      <c r="L11" s="195"/>
      <c r="M11" s="196">
        <v>1</v>
      </c>
      <c r="N11" s="194">
        <f>Nachfrage!L9</f>
        <v>6</v>
      </c>
      <c r="O11" s="195"/>
      <c r="P11" s="196">
        <v>1</v>
      </c>
      <c r="Q11" s="194">
        <f>Nachfrage!O9</f>
        <v>6</v>
      </c>
      <c r="R11" s="195"/>
      <c r="S11" s="196">
        <v>1</v>
      </c>
      <c r="T11" s="192">
        <f>Einsatzplan_Vorlage!T11</f>
        <v>0.1</v>
      </c>
      <c r="U11" s="2"/>
    </row>
    <row r="12" spans="1:20" s="21" customFormat="1" ht="19.5" customHeight="1">
      <c r="A12" s="17" t="str">
        <f>Einsatzplan_Vorlage!A12</f>
        <v>Blockzeiten Schule</v>
      </c>
      <c r="B12" s="18">
        <f>Einsatzplan_Vorlage!B12</f>
        <v>0.34027777777777773</v>
      </c>
      <c r="C12" s="18">
        <f>Einsatzplan_Vorlage!C12</f>
        <v>0.4166666666666667</v>
      </c>
      <c r="D12" s="20">
        <f t="shared" si="0"/>
        <v>1.8333333333333348</v>
      </c>
      <c r="E12" s="194"/>
      <c r="F12" s="195"/>
      <c r="G12" s="196"/>
      <c r="H12" s="194"/>
      <c r="I12" s="195"/>
      <c r="J12" s="196"/>
      <c r="K12" s="194"/>
      <c r="L12" s="195"/>
      <c r="M12" s="196"/>
      <c r="N12" s="194"/>
      <c r="O12" s="195"/>
      <c r="P12" s="196"/>
      <c r="Q12" s="194"/>
      <c r="R12" s="195"/>
      <c r="S12" s="196"/>
      <c r="T12" s="192">
        <f>Einsatzplan_Vorlage!T12</f>
        <v>0</v>
      </c>
    </row>
    <row r="13" spans="1:20" s="21" customFormat="1" ht="19.5" customHeight="1">
      <c r="A13" s="17" t="str">
        <f>Einsatzplan_Vorlage!A13</f>
        <v>Vormittag 2</v>
      </c>
      <c r="B13" s="18">
        <f>Einsatzplan_Vorlage!B13</f>
        <v>0.4166666666666667</v>
      </c>
      <c r="C13" s="18">
        <f>Einsatzplan_Vorlage!C13</f>
        <v>0.4791666666666667</v>
      </c>
      <c r="D13" s="20">
        <f t="shared" si="0"/>
        <v>1.5</v>
      </c>
      <c r="E13" s="194">
        <f>E11</f>
        <v>10</v>
      </c>
      <c r="F13" s="195">
        <v>1</v>
      </c>
      <c r="G13" s="196"/>
      <c r="H13" s="194">
        <f>H11</f>
        <v>8</v>
      </c>
      <c r="I13" s="195">
        <v>1</v>
      </c>
      <c r="J13" s="196"/>
      <c r="K13" s="194">
        <f>K11</f>
        <v>8</v>
      </c>
      <c r="L13" s="195">
        <v>1</v>
      </c>
      <c r="M13" s="196"/>
      <c r="N13" s="194">
        <f>N11</f>
        <v>6</v>
      </c>
      <c r="O13" s="195">
        <v>1</v>
      </c>
      <c r="P13" s="196"/>
      <c r="Q13" s="194">
        <f>Q11</f>
        <v>6</v>
      </c>
      <c r="R13" s="195">
        <v>1</v>
      </c>
      <c r="S13" s="196"/>
      <c r="T13" s="192">
        <f>Einsatzplan_Vorlage!T13</f>
        <v>0.18</v>
      </c>
    </row>
    <row r="14" spans="1:20" s="21" customFormat="1" ht="19.5" customHeight="1">
      <c r="A14" s="17" t="str">
        <f>Einsatzplan_Vorlage!A14</f>
        <v>Mittagstisch</v>
      </c>
      <c r="B14" s="18">
        <f>Einsatzplan_Vorlage!B14</f>
        <v>0.4791666666666667</v>
      </c>
      <c r="C14" s="18">
        <f>Einsatzplan_Vorlage!C14</f>
        <v>0.5625</v>
      </c>
      <c r="D14" s="20">
        <f t="shared" si="0"/>
        <v>1.9999999999999996</v>
      </c>
      <c r="E14" s="194">
        <f>Nachfrage!D9</f>
        <v>17</v>
      </c>
      <c r="F14" s="195">
        <v>1</v>
      </c>
      <c r="G14" s="196">
        <v>1</v>
      </c>
      <c r="H14" s="194">
        <f>Nachfrage!G9</f>
        <v>16</v>
      </c>
      <c r="I14" s="195">
        <v>1</v>
      </c>
      <c r="J14" s="196">
        <v>1</v>
      </c>
      <c r="K14" s="194">
        <f>Nachfrage!J9</f>
        <v>12</v>
      </c>
      <c r="L14" s="195">
        <v>1</v>
      </c>
      <c r="M14" s="196">
        <v>1</v>
      </c>
      <c r="N14" s="194">
        <f>Nachfrage!M9</f>
        <v>15</v>
      </c>
      <c r="O14" s="195">
        <v>1</v>
      </c>
      <c r="P14" s="196">
        <v>1</v>
      </c>
      <c r="Q14" s="194">
        <f>Nachfrage!P9</f>
        <v>13</v>
      </c>
      <c r="R14" s="195">
        <v>1</v>
      </c>
      <c r="S14" s="196">
        <v>1</v>
      </c>
      <c r="T14" s="192">
        <f>Einsatzplan_Vorlage!T14</f>
        <v>0.32</v>
      </c>
    </row>
    <row r="15" spans="1:21" s="21" customFormat="1" ht="19.5" customHeight="1">
      <c r="A15" s="17" t="str">
        <f>Einsatzplan_Vorlage!A15</f>
        <v>Nachmittag 1</v>
      </c>
      <c r="B15" s="18">
        <f>Einsatzplan_Vorlage!B15</f>
        <v>0.5625</v>
      </c>
      <c r="C15" s="18">
        <f>Einsatzplan_Vorlage!C15</f>
        <v>0.6666666666666666</v>
      </c>
      <c r="D15" s="20">
        <f t="shared" si="0"/>
        <v>2.499999999999999</v>
      </c>
      <c r="E15" s="197">
        <f>Nachfrage!E9</f>
        <v>15</v>
      </c>
      <c r="F15" s="198">
        <v>1</v>
      </c>
      <c r="G15" s="199">
        <v>1</v>
      </c>
      <c r="H15" s="197">
        <f>Nachfrage!H9</f>
        <v>10</v>
      </c>
      <c r="I15" s="198">
        <v>1</v>
      </c>
      <c r="J15" s="199"/>
      <c r="K15" s="197">
        <f>Nachfrage!K9</f>
        <v>7</v>
      </c>
      <c r="L15" s="198">
        <v>1</v>
      </c>
      <c r="M15" s="199"/>
      <c r="N15" s="197">
        <f>Nachfrage!N9</f>
        <v>9</v>
      </c>
      <c r="O15" s="198">
        <v>1</v>
      </c>
      <c r="P15" s="199"/>
      <c r="Q15" s="197">
        <f>Nachfrage!Q9</f>
        <v>8</v>
      </c>
      <c r="R15" s="198">
        <v>1</v>
      </c>
      <c r="S15" s="199"/>
      <c r="T15" s="192">
        <f>Einsatzplan_Vorlage!T15</f>
        <v>0.22</v>
      </c>
      <c r="U15" s="128"/>
    </row>
    <row r="16" spans="1:21" s="21" customFormat="1" ht="19.5" customHeight="1" thickBot="1">
      <c r="A16" s="189" t="str">
        <f>Einsatzplan_Vorlage!A16</f>
        <v>Nachmittag 2</v>
      </c>
      <c r="B16" s="190">
        <f>Einsatzplan_Vorlage!B16</f>
        <v>0.6666666666666666</v>
      </c>
      <c r="C16" s="190">
        <f>Einsatzplan_Vorlage!C16</f>
        <v>0.75</v>
      </c>
      <c r="D16" s="191">
        <f t="shared" si="0"/>
        <v>2.000000000000001</v>
      </c>
      <c r="E16" s="197">
        <f>E15</f>
        <v>15</v>
      </c>
      <c r="F16" s="198">
        <v>1</v>
      </c>
      <c r="G16" s="199">
        <v>1</v>
      </c>
      <c r="H16" s="197">
        <f>H15</f>
        <v>10</v>
      </c>
      <c r="I16" s="198">
        <v>1</v>
      </c>
      <c r="J16" s="199"/>
      <c r="K16" s="197">
        <f>K15</f>
        <v>7</v>
      </c>
      <c r="L16" s="198">
        <v>1</v>
      </c>
      <c r="M16" s="199"/>
      <c r="N16" s="197">
        <f>N15</f>
        <v>9</v>
      </c>
      <c r="O16" s="198">
        <v>1</v>
      </c>
      <c r="P16" s="199"/>
      <c r="Q16" s="197">
        <f>Q15</f>
        <v>8</v>
      </c>
      <c r="R16" s="198">
        <v>1</v>
      </c>
      <c r="S16" s="199"/>
      <c r="T16" s="193">
        <f>Einsatzplan_Vorlage!T16</f>
        <v>0.18</v>
      </c>
      <c r="U16" s="128"/>
    </row>
    <row r="17" spans="1:21" ht="13.5" thickTop="1">
      <c r="A17" s="55"/>
      <c r="B17" s="56"/>
      <c r="C17" s="57"/>
      <c r="D17" s="58"/>
      <c r="E17" s="62"/>
      <c r="F17" s="63"/>
      <c r="G17" s="64"/>
      <c r="H17" s="62"/>
      <c r="I17" s="63"/>
      <c r="J17" s="64"/>
      <c r="K17" s="62"/>
      <c r="L17" s="63"/>
      <c r="M17" s="64"/>
      <c r="N17" s="62"/>
      <c r="O17" s="63"/>
      <c r="P17" s="64"/>
      <c r="Q17" s="62"/>
      <c r="R17" s="63"/>
      <c r="S17" s="64"/>
      <c r="T17" s="60" t="s">
        <v>91</v>
      </c>
      <c r="U17" s="129"/>
    </row>
    <row r="18" spans="1:21" ht="12.75">
      <c r="A18" s="32" t="s">
        <v>139</v>
      </c>
      <c r="B18" s="33"/>
      <c r="C18" s="8"/>
      <c r="D18" s="59"/>
      <c r="E18" s="44"/>
      <c r="F18" s="45">
        <f>F11*$D11+F12*$D12+F13*$D13+F14*$D14+F15*$D15+F16*$D16</f>
        <v>7.999999999999999</v>
      </c>
      <c r="G18" s="46"/>
      <c r="H18" s="44"/>
      <c r="I18" s="45">
        <f>I11*$D11+I12*$D12+I13*$D13+I14*$D14+I15*$D15+I16*$D16</f>
        <v>7.999999999999999</v>
      </c>
      <c r="J18" s="46"/>
      <c r="K18" s="44"/>
      <c r="L18" s="45">
        <f>L11*$D11+L12*$D12+L13*$D13+L14*$D14+L15*$D15+L16*$D16</f>
        <v>7.999999999999999</v>
      </c>
      <c r="M18" s="46"/>
      <c r="N18" s="44"/>
      <c r="O18" s="45">
        <f>O11*$D11+O12*$D12+O13*$D13+O14*$D14+O15*$D15+O16*$D16</f>
        <v>7.999999999999999</v>
      </c>
      <c r="P18" s="46"/>
      <c r="Q18" s="44"/>
      <c r="R18" s="45">
        <f>R11*$D11+R12*$D12+R13*$D13+R14*$D14+R15*$D15+R16*$D16</f>
        <v>7.999999999999999</v>
      </c>
      <c r="S18" s="46"/>
      <c r="T18" s="50">
        <f>SUM(F18:R18)</f>
        <v>39.99999999999999</v>
      </c>
      <c r="U18" s="129"/>
    </row>
    <row r="19" spans="1:21" ht="12.75">
      <c r="A19" s="32" t="s">
        <v>71</v>
      </c>
      <c r="B19" s="33"/>
      <c r="C19" s="8"/>
      <c r="D19" s="34"/>
      <c r="E19" s="44"/>
      <c r="F19" s="45"/>
      <c r="G19" s="46">
        <f>G11*$D11+G12*$D12+G13*$D13+G14*$D14+G15*$D15+G16*$D16</f>
        <v>7.666666666666665</v>
      </c>
      <c r="H19" s="44"/>
      <c r="I19" s="45"/>
      <c r="J19" s="46">
        <f>J11*$D11+J12*$D12+J13*$D13+J14*$D14+J15*$D15+J16*$D16</f>
        <v>3.1666666666666647</v>
      </c>
      <c r="K19" s="44"/>
      <c r="L19" s="45"/>
      <c r="M19" s="46">
        <f>M11*$D11+M12*$D12+M13*$D13+M14*$D14+M15*$D15+M16*$D16</f>
        <v>3.1666666666666647</v>
      </c>
      <c r="N19" s="44"/>
      <c r="O19" s="45"/>
      <c r="P19" s="46">
        <f>P11*$D11+P12*$D12+P13*$D13+P14*$D14+P15*$D15+P16*$D16</f>
        <v>3.1666666666666647</v>
      </c>
      <c r="Q19" s="44"/>
      <c r="R19" s="45"/>
      <c r="S19" s="46">
        <f>S11*$D11+S12*$D12+S13*$D13+S14*$D14+S15*$D15+S16*$D16</f>
        <v>3.1666666666666647</v>
      </c>
      <c r="T19" s="50">
        <f>SUM(G19:S19)</f>
        <v>20.333333333333325</v>
      </c>
      <c r="U19" s="129"/>
    </row>
    <row r="20" spans="1:21" ht="12.75">
      <c r="A20" s="32" t="s">
        <v>16</v>
      </c>
      <c r="B20" s="33"/>
      <c r="C20" s="8"/>
      <c r="D20" s="34"/>
      <c r="E20" s="201">
        <f>E11*$T11+E12*$T12+E13*$T13+E14*$T14+E15*$T15+E16*$T16</f>
        <v>14.239999999999998</v>
      </c>
      <c r="F20" s="45"/>
      <c r="G20" s="46"/>
      <c r="H20" s="201">
        <f>H11*$T11+H12*$T12+H13*$T13+H14*$T14+H15*$T15+H16*$T16</f>
        <v>11.36</v>
      </c>
      <c r="I20" s="45"/>
      <c r="J20" s="46"/>
      <c r="K20" s="201">
        <f>K11*$T11+K12*$T12+K13*$T13+K14*$T14+K15*$T15+K16*$T16</f>
        <v>8.88</v>
      </c>
      <c r="L20" s="45"/>
      <c r="M20" s="46"/>
      <c r="N20" s="201">
        <f>N11*$T11+N12*$T12+N13*$T13+N14*$T14+N15*$T15+N16*$T16</f>
        <v>10.08</v>
      </c>
      <c r="O20" s="45"/>
      <c r="P20" s="46"/>
      <c r="Q20" s="201">
        <f>Q11*$T11+Q12*$T12+Q13*$T13+Q14*$T14+Q15*$T15+Q16*$T16</f>
        <v>9.04</v>
      </c>
      <c r="R20" s="45"/>
      <c r="S20" s="46"/>
      <c r="T20" s="50">
        <f>SUM(E20:Q20)/5</f>
        <v>10.719999999999999</v>
      </c>
      <c r="U20" s="129"/>
    </row>
    <row r="21" spans="1:20" ht="12.75">
      <c r="A21" s="37" t="s">
        <v>157</v>
      </c>
      <c r="B21" s="38"/>
      <c r="C21" s="39"/>
      <c r="D21" s="40"/>
      <c r="E21" s="47">
        <f>E14</f>
        <v>17</v>
      </c>
      <c r="F21" s="48"/>
      <c r="G21" s="49"/>
      <c r="H21" s="47">
        <f>H14</f>
        <v>16</v>
      </c>
      <c r="I21" s="48"/>
      <c r="J21" s="49"/>
      <c r="K21" s="47">
        <f>K14</f>
        <v>12</v>
      </c>
      <c r="L21" s="48"/>
      <c r="M21" s="49"/>
      <c r="N21" s="47">
        <f>N14</f>
        <v>15</v>
      </c>
      <c r="O21" s="48"/>
      <c r="P21" s="49"/>
      <c r="Q21" s="47">
        <f>Q14</f>
        <v>13</v>
      </c>
      <c r="R21" s="48"/>
      <c r="S21" s="49"/>
      <c r="T21" s="200">
        <f>SUM(E21:Q21)</f>
        <v>73</v>
      </c>
    </row>
    <row r="22" spans="3:4" ht="12.75">
      <c r="C22" s="14"/>
      <c r="D22" s="14"/>
    </row>
    <row r="23" spans="3:4" ht="12.75">
      <c r="C23" s="14"/>
      <c r="D23" s="14"/>
    </row>
    <row r="24" spans="3:4" ht="12.75">
      <c r="C24" s="14"/>
      <c r="D24" s="14"/>
    </row>
    <row r="25" spans="3:4" ht="12.75">
      <c r="C25" s="14"/>
      <c r="D25" s="14"/>
    </row>
    <row r="26" spans="3:4" ht="12.75">
      <c r="C26" s="14"/>
      <c r="D26" s="14"/>
    </row>
    <row r="27" spans="3:4" ht="12.75">
      <c r="C27" s="14"/>
      <c r="D27" s="14"/>
    </row>
    <row r="28" spans="3:5" ht="12.75">
      <c r="C28" s="14"/>
      <c r="D28" s="14"/>
      <c r="E28" s="15"/>
    </row>
    <row r="29" spans="3:4" ht="12">
      <c r="C29" s="14"/>
      <c r="D29" s="14"/>
    </row>
    <row r="30" spans="3:5" ht="12">
      <c r="C30" s="14"/>
      <c r="D30" s="14"/>
      <c r="E30" s="16"/>
    </row>
    <row r="31" spans="3:5" ht="12">
      <c r="C31" s="14"/>
      <c r="D31" s="14"/>
      <c r="E31" s="16"/>
    </row>
    <row r="32" spans="3:4" ht="12">
      <c r="C32" s="14"/>
      <c r="D32" s="14"/>
    </row>
    <row r="63" ht="12">
      <c r="A63"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5.xml><?xml version="1.0" encoding="utf-8"?>
<worksheet xmlns="http://schemas.openxmlformats.org/spreadsheetml/2006/main" xmlns:r="http://schemas.openxmlformats.org/officeDocument/2006/relationships">
  <dimension ref="A1:U63"/>
  <sheetViews>
    <sheetView workbookViewId="0" topLeftCell="A1">
      <selection activeCell="H4" sqref="H4"/>
    </sheetView>
  </sheetViews>
  <sheetFormatPr defaultColWidth="11.00390625" defaultRowHeight="12"/>
  <cols>
    <col min="1" max="1" width="16.375" style="2" customWidth="1"/>
    <col min="2" max="2" width="6.625" style="2" customWidth="1"/>
    <col min="3" max="3" width="8.50390625" style="2" bestFit="1" customWidth="1"/>
    <col min="4" max="4" width="4.625" style="2" bestFit="1" customWidth="1"/>
    <col min="5" max="19" width="4.375" style="2" customWidth="1"/>
    <col min="20" max="20" width="8.875" style="2" bestFit="1" customWidth="1"/>
    <col min="21" max="21" width="7.00390625" style="2" customWidth="1"/>
    <col min="22" max="16384" width="10.875" style="2" customWidth="1"/>
  </cols>
  <sheetData>
    <row r="1" spans="1:21" ht="12.75">
      <c r="A1" s="2" t="str">
        <f>Eckwerte!A1</f>
        <v>Budget freiwillige Tagesschule</v>
      </c>
      <c r="T1" s="13"/>
      <c r="U1" s="13"/>
    </row>
    <row r="2" ht="12.75"/>
    <row r="3" ht="15.75">
      <c r="A3" s="1"/>
    </row>
    <row r="4" spans="1:21" s="1" customFormat="1" ht="15.75">
      <c r="A4" s="1" t="s">
        <v>140</v>
      </c>
      <c r="H4" s="1" t="str">
        <f>CONCATENATE(Eckwerte!$B$7&amp;". Betriebsjahr")</f>
        <v>1. Betriebsjahr</v>
      </c>
      <c r="U4" s="3"/>
    </row>
    <row r="5" spans="1:21" ht="12.75">
      <c r="A5" s="2" t="s">
        <v>25</v>
      </c>
      <c r="C5" s="202">
        <v>10</v>
      </c>
      <c r="F5" s="2" t="s">
        <v>121</v>
      </c>
      <c r="P5" s="202">
        <v>1</v>
      </c>
      <c r="U5" s="3"/>
    </row>
    <row r="6" spans="1:21" ht="12.75">
      <c r="A6" s="2" t="s">
        <v>17</v>
      </c>
      <c r="C6" s="12">
        <f>T20</f>
        <v>1.7040000000000002</v>
      </c>
      <c r="F6" s="2" t="s">
        <v>98</v>
      </c>
      <c r="P6" s="202">
        <v>1</v>
      </c>
      <c r="U6" s="3"/>
    </row>
    <row r="7" spans="1:21" ht="12.75">
      <c r="A7" s="2" t="s">
        <v>18</v>
      </c>
      <c r="C7" s="15">
        <f>C6/C5</f>
        <v>0.17040000000000002</v>
      </c>
      <c r="U7" s="3"/>
    </row>
    <row r="8" ht="12.75"/>
    <row r="9" spans="1:20" ht="12.75">
      <c r="A9" s="4"/>
      <c r="B9" s="5"/>
      <c r="C9" s="5"/>
      <c r="D9" s="5"/>
      <c r="E9" s="4" t="s">
        <v>144</v>
      </c>
      <c r="F9" s="5"/>
      <c r="G9" s="6"/>
      <c r="H9" s="4" t="s">
        <v>145</v>
      </c>
      <c r="I9" s="5"/>
      <c r="J9" s="6"/>
      <c r="K9" s="4" t="s">
        <v>146</v>
      </c>
      <c r="L9" s="5"/>
      <c r="M9" s="6"/>
      <c r="N9" s="4" t="s">
        <v>147</v>
      </c>
      <c r="O9" s="5"/>
      <c r="P9" s="6"/>
      <c r="Q9" s="4" t="s">
        <v>148</v>
      </c>
      <c r="R9" s="5"/>
      <c r="S9" s="6"/>
      <c r="T9" s="108"/>
    </row>
    <row r="10" spans="1:20" ht="186">
      <c r="A10" s="7"/>
      <c r="B10" s="8" t="s">
        <v>155</v>
      </c>
      <c r="C10" s="9" t="s">
        <v>156</v>
      </c>
      <c r="D10" s="10" t="s">
        <v>154</v>
      </c>
      <c r="E10" s="203" t="s">
        <v>15</v>
      </c>
      <c r="F10" s="204" t="s">
        <v>26</v>
      </c>
      <c r="G10" s="205" t="s">
        <v>92</v>
      </c>
      <c r="H10" s="22" t="str">
        <f>$E10</f>
        <v>Anzahl Kinder</v>
      </c>
      <c r="I10" s="23" t="str">
        <f>$F10</f>
        <v>qualifizierte Betreuungsperson</v>
      </c>
      <c r="J10" s="61" t="str">
        <f>$G10</f>
        <v>pädagogisch geeignete Person</v>
      </c>
      <c r="K10" s="22" t="str">
        <f>$E10</f>
        <v>Anzahl Kinder</v>
      </c>
      <c r="L10" s="23" t="str">
        <f>$F10</f>
        <v>qualifizierte Betreuungsperson</v>
      </c>
      <c r="M10" s="61" t="str">
        <f>$G10</f>
        <v>pädagogisch geeignete Person</v>
      </c>
      <c r="N10" s="22" t="str">
        <f>$E10</f>
        <v>Anzahl Kinder</v>
      </c>
      <c r="O10" s="23" t="str">
        <f>$F10</f>
        <v>qualifizierte Betreuungsperson</v>
      </c>
      <c r="P10" s="61" t="str">
        <f>$G10</f>
        <v>pädagogisch geeignete Person</v>
      </c>
      <c r="Q10" s="22" t="str">
        <f>$E10</f>
        <v>Anzahl Kinder</v>
      </c>
      <c r="R10" s="23" t="str">
        <f>$F10</f>
        <v>qualifizierte Betreuungsperson</v>
      </c>
      <c r="S10" s="61" t="str">
        <f>$G10</f>
        <v>pädagogisch geeignete Person</v>
      </c>
      <c r="T10" s="177" t="s">
        <v>128</v>
      </c>
    </row>
    <row r="11" spans="1:21" s="21" customFormat="1" ht="19.5" customHeight="1">
      <c r="A11" s="17" t="str">
        <f>Einsatzplan_Vorlage!A11</f>
        <v>Vormittag 1</v>
      </c>
      <c r="B11" s="18">
        <f>Einsatzplan_Vorlage!B11</f>
        <v>0.2916666666666667</v>
      </c>
      <c r="C11" s="18">
        <f>Einsatzplan_Vorlage!C11</f>
        <v>0.34027777777777773</v>
      </c>
      <c r="D11" s="20">
        <f aca="true" t="shared" si="0" ref="D11:D16">24*(C11-B11)</f>
        <v>1.1666666666666652</v>
      </c>
      <c r="E11" s="194">
        <f>Nachfrage!C15</f>
        <v>0</v>
      </c>
      <c r="F11" s="195"/>
      <c r="G11" s="196"/>
      <c r="H11" s="194">
        <f>Nachfrage!F15</f>
        <v>2</v>
      </c>
      <c r="I11" s="195"/>
      <c r="J11" s="196">
        <v>1</v>
      </c>
      <c r="K11" s="194">
        <f>Nachfrage!I15</f>
        <v>1</v>
      </c>
      <c r="L11" s="195"/>
      <c r="M11" s="196">
        <v>1</v>
      </c>
      <c r="N11" s="194">
        <f>Nachfrage!L15</f>
        <v>1</v>
      </c>
      <c r="O11" s="195"/>
      <c r="P11" s="196">
        <v>1</v>
      </c>
      <c r="Q11" s="194">
        <f>Nachfrage!O15</f>
        <v>1</v>
      </c>
      <c r="R11" s="195"/>
      <c r="S11" s="196">
        <v>1</v>
      </c>
      <c r="T11" s="192">
        <f>Einsatzplan_Vorlage!T11</f>
        <v>0.1</v>
      </c>
      <c r="U11" s="2"/>
    </row>
    <row r="12" spans="1:20" s="21" customFormat="1" ht="19.5" customHeight="1">
      <c r="A12" s="17" t="str">
        <f>Einsatzplan_Vorlage!A12</f>
        <v>Blockzeiten Schule</v>
      </c>
      <c r="B12" s="18">
        <f>Einsatzplan_Vorlage!B12</f>
        <v>0.34027777777777773</v>
      </c>
      <c r="C12" s="18">
        <f>Einsatzplan_Vorlage!C12</f>
        <v>0.4166666666666667</v>
      </c>
      <c r="D12" s="20">
        <f t="shared" si="0"/>
        <v>1.8333333333333348</v>
      </c>
      <c r="E12" s="194"/>
      <c r="F12" s="195"/>
      <c r="G12" s="196"/>
      <c r="H12" s="194"/>
      <c r="I12" s="195"/>
      <c r="J12" s="196"/>
      <c r="K12" s="194"/>
      <c r="L12" s="195"/>
      <c r="M12" s="196"/>
      <c r="N12" s="194"/>
      <c r="O12" s="195"/>
      <c r="P12" s="196"/>
      <c r="Q12" s="194"/>
      <c r="R12" s="195"/>
      <c r="S12" s="196"/>
      <c r="T12" s="192">
        <f>Einsatzplan_Vorlage!T12</f>
        <v>0</v>
      </c>
    </row>
    <row r="13" spans="1:20" s="21" customFormat="1" ht="19.5" customHeight="1">
      <c r="A13" s="17" t="str">
        <f>Einsatzplan_Vorlage!A13</f>
        <v>Vormittag 2</v>
      </c>
      <c r="B13" s="18">
        <f>Einsatzplan_Vorlage!B13</f>
        <v>0.4166666666666667</v>
      </c>
      <c r="C13" s="18">
        <f>Einsatzplan_Vorlage!C13</f>
        <v>0.4791666666666667</v>
      </c>
      <c r="D13" s="20">
        <f t="shared" si="0"/>
        <v>1.5</v>
      </c>
      <c r="E13" s="194">
        <f>E11</f>
        <v>0</v>
      </c>
      <c r="F13" s="195"/>
      <c r="G13" s="196"/>
      <c r="H13" s="194">
        <f>H11</f>
        <v>2</v>
      </c>
      <c r="I13" s="195">
        <v>1</v>
      </c>
      <c r="J13" s="196"/>
      <c r="K13" s="194">
        <f>K11</f>
        <v>1</v>
      </c>
      <c r="L13" s="195">
        <v>1</v>
      </c>
      <c r="M13" s="196"/>
      <c r="N13" s="194">
        <f>N11</f>
        <v>1</v>
      </c>
      <c r="O13" s="195">
        <v>1</v>
      </c>
      <c r="P13" s="196"/>
      <c r="Q13" s="194">
        <f>Q11</f>
        <v>1</v>
      </c>
      <c r="R13" s="195">
        <v>1</v>
      </c>
      <c r="S13" s="196"/>
      <c r="T13" s="192">
        <f>Einsatzplan_Vorlage!T13</f>
        <v>0.18</v>
      </c>
    </row>
    <row r="14" spans="1:20" s="21" customFormat="1" ht="19.5" customHeight="1">
      <c r="A14" s="17" t="str">
        <f>Einsatzplan_Vorlage!A14</f>
        <v>Mittagstisch</v>
      </c>
      <c r="B14" s="18">
        <f>Einsatzplan_Vorlage!B14</f>
        <v>0.4791666666666667</v>
      </c>
      <c r="C14" s="18">
        <f>Einsatzplan_Vorlage!C14</f>
        <v>0.5625</v>
      </c>
      <c r="D14" s="20">
        <f t="shared" si="0"/>
        <v>1.9999999999999996</v>
      </c>
      <c r="E14" s="194">
        <f>Nachfrage!D15</f>
        <v>2</v>
      </c>
      <c r="F14" s="195">
        <v>1</v>
      </c>
      <c r="G14" s="196"/>
      <c r="H14" s="194">
        <f>Nachfrage!G15</f>
        <v>3</v>
      </c>
      <c r="I14" s="195">
        <v>1</v>
      </c>
      <c r="J14" s="196"/>
      <c r="K14" s="194">
        <f>Nachfrage!J15</f>
        <v>2</v>
      </c>
      <c r="L14" s="195">
        <v>1</v>
      </c>
      <c r="M14" s="196"/>
      <c r="N14" s="194">
        <f>Nachfrage!M15</f>
        <v>2</v>
      </c>
      <c r="O14" s="195">
        <v>1</v>
      </c>
      <c r="P14" s="196"/>
      <c r="Q14" s="194">
        <f>Nachfrage!P15</f>
        <v>2</v>
      </c>
      <c r="R14" s="195">
        <v>1</v>
      </c>
      <c r="S14" s="196"/>
      <c r="T14" s="192">
        <f>Einsatzplan_Vorlage!T14</f>
        <v>0.32</v>
      </c>
    </row>
    <row r="15" spans="1:21" s="21" customFormat="1" ht="19.5" customHeight="1">
      <c r="A15" s="17" t="str">
        <f>Einsatzplan_Vorlage!A15</f>
        <v>Nachmittag 1</v>
      </c>
      <c r="B15" s="18">
        <f>Einsatzplan_Vorlage!B15</f>
        <v>0.5625</v>
      </c>
      <c r="C15" s="18">
        <f>Einsatzplan_Vorlage!C15</f>
        <v>0.6666666666666666</v>
      </c>
      <c r="D15" s="20">
        <f t="shared" si="0"/>
        <v>2.499999999999999</v>
      </c>
      <c r="E15" s="197">
        <f>Nachfrage!E15</f>
        <v>1</v>
      </c>
      <c r="F15" s="198">
        <v>1</v>
      </c>
      <c r="G15" s="199"/>
      <c r="H15" s="197">
        <f>Nachfrage!H15</f>
        <v>3</v>
      </c>
      <c r="I15" s="198">
        <v>1</v>
      </c>
      <c r="J15" s="199"/>
      <c r="K15" s="197">
        <f>Nachfrage!K15</f>
        <v>1</v>
      </c>
      <c r="L15" s="198">
        <v>1</v>
      </c>
      <c r="M15" s="199"/>
      <c r="N15" s="197">
        <f>Nachfrage!N15</f>
        <v>2</v>
      </c>
      <c r="O15" s="198">
        <v>1</v>
      </c>
      <c r="P15" s="199"/>
      <c r="Q15" s="197">
        <f>Nachfrage!Q15</f>
        <v>2</v>
      </c>
      <c r="R15" s="198">
        <v>1</v>
      </c>
      <c r="S15" s="199"/>
      <c r="T15" s="192">
        <f>Einsatzplan_Vorlage!T15</f>
        <v>0.22</v>
      </c>
      <c r="U15" s="128"/>
    </row>
    <row r="16" spans="1:21" s="21" customFormat="1" ht="19.5" customHeight="1" thickBot="1">
      <c r="A16" s="189" t="str">
        <f>Einsatzplan_Vorlage!A16</f>
        <v>Nachmittag 2</v>
      </c>
      <c r="B16" s="190">
        <f>Einsatzplan_Vorlage!B16</f>
        <v>0.6666666666666666</v>
      </c>
      <c r="C16" s="190">
        <f>Einsatzplan_Vorlage!C16</f>
        <v>0.75</v>
      </c>
      <c r="D16" s="191">
        <f t="shared" si="0"/>
        <v>2.000000000000001</v>
      </c>
      <c r="E16" s="197">
        <f>E15</f>
        <v>1</v>
      </c>
      <c r="F16" s="198">
        <v>1</v>
      </c>
      <c r="G16" s="199"/>
      <c r="H16" s="197">
        <f>H15</f>
        <v>3</v>
      </c>
      <c r="I16" s="198">
        <v>1</v>
      </c>
      <c r="J16" s="199"/>
      <c r="K16" s="197">
        <f>K15</f>
        <v>1</v>
      </c>
      <c r="L16" s="198">
        <v>1</v>
      </c>
      <c r="M16" s="199"/>
      <c r="N16" s="197">
        <f>N15</f>
        <v>2</v>
      </c>
      <c r="O16" s="198">
        <v>1</v>
      </c>
      <c r="P16" s="199"/>
      <c r="Q16" s="197">
        <f>Q15</f>
        <v>2</v>
      </c>
      <c r="R16" s="198">
        <v>1</v>
      </c>
      <c r="S16" s="199"/>
      <c r="T16" s="193">
        <f>Einsatzplan_Vorlage!T16</f>
        <v>0.18</v>
      </c>
      <c r="U16" s="128"/>
    </row>
    <row r="17" spans="1:21" ht="12.75" thickTop="1">
      <c r="A17" s="55"/>
      <c r="B17" s="56"/>
      <c r="C17" s="57"/>
      <c r="D17" s="58"/>
      <c r="E17" s="62"/>
      <c r="F17" s="63"/>
      <c r="G17" s="64"/>
      <c r="H17" s="62"/>
      <c r="I17" s="63"/>
      <c r="J17" s="64"/>
      <c r="K17" s="62"/>
      <c r="L17" s="63"/>
      <c r="M17" s="64"/>
      <c r="N17" s="62"/>
      <c r="O17" s="63"/>
      <c r="P17" s="64"/>
      <c r="Q17" s="62"/>
      <c r="R17" s="63"/>
      <c r="S17" s="64"/>
      <c r="T17" s="60" t="s">
        <v>91</v>
      </c>
      <c r="U17" s="129"/>
    </row>
    <row r="18" spans="1:21" ht="12">
      <c r="A18" s="32" t="s">
        <v>139</v>
      </c>
      <c r="B18" s="33"/>
      <c r="C18" s="8"/>
      <c r="D18" s="59"/>
      <c r="E18" s="44"/>
      <c r="F18" s="45">
        <f>F11*$D11+F12*$D12+F13*$D13+F14*$D14+F15*$D15+F16*$D16</f>
        <v>6.499999999999999</v>
      </c>
      <c r="G18" s="46"/>
      <c r="H18" s="44"/>
      <c r="I18" s="45">
        <f>I11*$D11+I12*$D12+I13*$D13+I14*$D14+I15*$D15+I16*$D16</f>
        <v>7.999999999999999</v>
      </c>
      <c r="J18" s="46"/>
      <c r="K18" s="44"/>
      <c r="L18" s="45">
        <f>L11*$D11+L12*$D12+L13*$D13+L14*$D14+L15*$D15+L16*$D16</f>
        <v>7.999999999999999</v>
      </c>
      <c r="M18" s="46"/>
      <c r="N18" s="44"/>
      <c r="O18" s="45">
        <f>O11*$D11+O12*$D12+O13*$D13+O14*$D14+O15*$D15+O16*$D16</f>
        <v>7.999999999999999</v>
      </c>
      <c r="P18" s="46"/>
      <c r="Q18" s="44"/>
      <c r="R18" s="45">
        <f>R11*$D11+R12*$D12+R13*$D13+R14*$D14+R15*$D15+R16*$D16</f>
        <v>7.999999999999999</v>
      </c>
      <c r="S18" s="46"/>
      <c r="T18" s="50">
        <f>SUM(F18:R18)</f>
        <v>38.49999999999999</v>
      </c>
      <c r="U18" s="129"/>
    </row>
    <row r="19" spans="1:21" ht="12">
      <c r="A19" s="32" t="s">
        <v>71</v>
      </c>
      <c r="B19" s="33"/>
      <c r="C19" s="8"/>
      <c r="D19" s="34"/>
      <c r="E19" s="44"/>
      <c r="F19" s="45"/>
      <c r="G19" s="46">
        <f>G11*$D11+G12*$D12+G13*$D13+G14*$D14+G15*$D15+G16*$D16</f>
        <v>0</v>
      </c>
      <c r="H19" s="44"/>
      <c r="I19" s="45"/>
      <c r="J19" s="46">
        <f>J11*$D11+J12*$D12+J13*$D13+J14*$D14+J15*$D15+J16*$D16</f>
        <v>1.1666666666666652</v>
      </c>
      <c r="K19" s="44"/>
      <c r="L19" s="45"/>
      <c r="M19" s="46">
        <f>M11*$D11+M12*$D12+M13*$D13+M14*$D14+M15*$D15+M16*$D16</f>
        <v>1.1666666666666652</v>
      </c>
      <c r="N19" s="44"/>
      <c r="O19" s="45"/>
      <c r="P19" s="46">
        <f>P11*$D11+P12*$D12+P13*$D13+P14*$D14+P15*$D15+P16*$D16</f>
        <v>1.1666666666666652</v>
      </c>
      <c r="Q19" s="44"/>
      <c r="R19" s="45"/>
      <c r="S19" s="46">
        <f>S11*$D11+S12*$D12+S13*$D13+S14*$D14+S15*$D15+S16*$D16</f>
        <v>1.1666666666666652</v>
      </c>
      <c r="T19" s="50">
        <f>SUM(G19:S19)</f>
        <v>4.666666666666661</v>
      </c>
      <c r="U19" s="129"/>
    </row>
    <row r="20" spans="1:21" ht="12">
      <c r="A20" s="32" t="s">
        <v>16</v>
      </c>
      <c r="B20" s="33"/>
      <c r="C20" s="8"/>
      <c r="D20" s="34"/>
      <c r="E20" s="201">
        <f>E11*$T11+E12*$T12+E13*$T13+E14*$T14+E15*$T15+E16*$T16</f>
        <v>1.04</v>
      </c>
      <c r="F20" s="45"/>
      <c r="G20" s="46"/>
      <c r="H20" s="201">
        <f>H11*$T11+H12*$T12+H13*$T13+H14*$T14+H15*$T15+H16*$T16</f>
        <v>2.72</v>
      </c>
      <c r="I20" s="45"/>
      <c r="J20" s="46"/>
      <c r="K20" s="201">
        <f>K11*$T11+K12*$T12+K13*$T13+K14*$T14+K15*$T15+K16*$T16</f>
        <v>1.32</v>
      </c>
      <c r="L20" s="45"/>
      <c r="M20" s="46"/>
      <c r="N20" s="201">
        <f>N11*$T11+N12*$T12+N13*$T13+N14*$T14+N15*$T15+N16*$T16</f>
        <v>1.7200000000000002</v>
      </c>
      <c r="O20" s="45"/>
      <c r="P20" s="46"/>
      <c r="Q20" s="201">
        <f>Q11*$T11+Q12*$T12+Q13*$T13+Q14*$T14+Q15*$T15+Q16*$T16</f>
        <v>1.7200000000000002</v>
      </c>
      <c r="R20" s="45"/>
      <c r="S20" s="46"/>
      <c r="T20" s="50">
        <f>SUM(E20:Q20)/5</f>
        <v>1.7040000000000002</v>
      </c>
      <c r="U20" s="129"/>
    </row>
    <row r="21" spans="1:20" ht="12">
      <c r="A21" s="37" t="s">
        <v>157</v>
      </c>
      <c r="B21" s="38"/>
      <c r="C21" s="39"/>
      <c r="D21" s="40"/>
      <c r="E21" s="47">
        <f>E14</f>
        <v>2</v>
      </c>
      <c r="F21" s="48"/>
      <c r="G21" s="49"/>
      <c r="H21" s="47">
        <f>H14</f>
        <v>3</v>
      </c>
      <c r="I21" s="48"/>
      <c r="J21" s="49"/>
      <c r="K21" s="47">
        <f>K14</f>
        <v>2</v>
      </c>
      <c r="L21" s="48"/>
      <c r="M21" s="49"/>
      <c r="N21" s="47">
        <f>N14</f>
        <v>2</v>
      </c>
      <c r="O21" s="48"/>
      <c r="P21" s="49"/>
      <c r="Q21" s="47">
        <f>Q14</f>
        <v>2</v>
      </c>
      <c r="R21" s="48"/>
      <c r="S21" s="49"/>
      <c r="T21" s="200">
        <f>SUM(E21:Q21)</f>
        <v>11</v>
      </c>
    </row>
    <row r="22" spans="3:4" ht="12">
      <c r="C22" s="14"/>
      <c r="D22" s="14"/>
    </row>
    <row r="23" spans="3:4" ht="12">
      <c r="C23" s="14"/>
      <c r="D23" s="14"/>
    </row>
    <row r="24" spans="3:4" ht="12">
      <c r="C24" s="14"/>
      <c r="D24" s="14"/>
    </row>
    <row r="25" spans="3:4" ht="12">
      <c r="C25" s="14"/>
      <c r="D25" s="14"/>
    </row>
    <row r="26" spans="3:4" ht="12">
      <c r="C26" s="14"/>
      <c r="D26" s="14"/>
    </row>
    <row r="27" spans="3:4" ht="12">
      <c r="C27" s="14"/>
      <c r="D27" s="14"/>
    </row>
    <row r="28" spans="3:5" ht="12">
      <c r="C28" s="14"/>
      <c r="D28" s="14"/>
      <c r="E28" s="15"/>
    </row>
    <row r="29" spans="3:4" ht="12">
      <c r="C29" s="14"/>
      <c r="D29" s="14"/>
    </row>
    <row r="30" spans="3:5" ht="12">
      <c r="C30" s="14"/>
      <c r="D30" s="14"/>
      <c r="E30" s="16"/>
    </row>
    <row r="31" spans="3:5" ht="12">
      <c r="C31" s="14"/>
      <c r="D31" s="14"/>
      <c r="E31" s="16"/>
    </row>
    <row r="32" spans="3:4" ht="12">
      <c r="C32" s="14"/>
      <c r="D32" s="14"/>
    </row>
    <row r="63" ht="12">
      <c r="A63"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6.xml><?xml version="1.0" encoding="utf-8"?>
<worksheet xmlns="http://schemas.openxmlformats.org/spreadsheetml/2006/main" xmlns:r="http://schemas.openxmlformats.org/officeDocument/2006/relationships">
  <dimension ref="A1:U63"/>
  <sheetViews>
    <sheetView workbookViewId="0" topLeftCell="A1">
      <selection activeCell="A1" sqref="A1"/>
    </sheetView>
  </sheetViews>
  <sheetFormatPr defaultColWidth="11.00390625" defaultRowHeight="12"/>
  <cols>
    <col min="1" max="1" width="16.375" style="2" customWidth="1"/>
    <col min="2" max="2" width="6.625" style="2" customWidth="1"/>
    <col min="3" max="3" width="8.50390625" style="2" bestFit="1" customWidth="1"/>
    <col min="4" max="4" width="4.625" style="2" bestFit="1" customWidth="1"/>
    <col min="5" max="19" width="4.375" style="2" customWidth="1"/>
    <col min="20" max="20" width="8.875" style="2" bestFit="1" customWidth="1"/>
    <col min="21" max="21" width="7.00390625" style="2" customWidth="1"/>
    <col min="22" max="16384" width="10.875" style="2" customWidth="1"/>
  </cols>
  <sheetData>
    <row r="1" spans="1:21" ht="12.75">
      <c r="A1" s="2" t="str">
        <f>Eckwerte!A1</f>
        <v>Budget freiwillige Tagesschule</v>
      </c>
      <c r="T1" s="13"/>
      <c r="U1" s="13"/>
    </row>
    <row r="2" ht="12.75"/>
    <row r="3" ht="12.75"/>
    <row r="4" spans="1:21" s="1" customFormat="1" ht="15">
      <c r="A4" s="1" t="s">
        <v>28</v>
      </c>
      <c r="H4" s="1" t="str">
        <f>CONCATENATE(Eckwerte!$B$7&amp;". Betriebsjahr")</f>
        <v>1. Betriebsjahr</v>
      </c>
      <c r="U4" s="3"/>
    </row>
    <row r="5" spans="1:21" ht="12">
      <c r="A5" s="2" t="s">
        <v>25</v>
      </c>
      <c r="C5" s="202">
        <v>10</v>
      </c>
      <c r="F5" s="2" t="s">
        <v>121</v>
      </c>
      <c r="P5" s="202">
        <v>1</v>
      </c>
      <c r="U5" s="3"/>
    </row>
    <row r="6" spans="1:21" ht="12">
      <c r="A6" s="2" t="s">
        <v>17</v>
      </c>
      <c r="C6" s="12">
        <f>T20</f>
        <v>4.5200000000000005</v>
      </c>
      <c r="F6" s="2" t="s">
        <v>98</v>
      </c>
      <c r="P6" s="202">
        <v>1</v>
      </c>
      <c r="U6" s="3"/>
    </row>
    <row r="7" spans="1:21" ht="12">
      <c r="A7" s="2" t="s">
        <v>18</v>
      </c>
      <c r="C7" s="15">
        <f>C6/C5</f>
        <v>0.45200000000000007</v>
      </c>
      <c r="U7" s="3"/>
    </row>
    <row r="9" spans="1:20" ht="12">
      <c r="A9" s="4"/>
      <c r="B9" s="5"/>
      <c r="C9" s="5"/>
      <c r="D9" s="5"/>
      <c r="E9" s="4" t="s">
        <v>144</v>
      </c>
      <c r="F9" s="5"/>
      <c r="G9" s="6"/>
      <c r="H9" s="4" t="s">
        <v>145</v>
      </c>
      <c r="I9" s="5"/>
      <c r="J9" s="6"/>
      <c r="K9" s="4" t="s">
        <v>146</v>
      </c>
      <c r="L9" s="5"/>
      <c r="M9" s="6"/>
      <c r="N9" s="4" t="s">
        <v>147</v>
      </c>
      <c r="O9" s="5"/>
      <c r="P9" s="6"/>
      <c r="Q9" s="4" t="s">
        <v>148</v>
      </c>
      <c r="R9" s="5"/>
      <c r="S9" s="6"/>
      <c r="T9" s="108"/>
    </row>
    <row r="10" spans="1:20" ht="168">
      <c r="A10" s="7"/>
      <c r="B10" s="8" t="s">
        <v>155</v>
      </c>
      <c r="C10" s="9" t="s">
        <v>156</v>
      </c>
      <c r="D10" s="10" t="s">
        <v>154</v>
      </c>
      <c r="E10" s="203" t="s">
        <v>15</v>
      </c>
      <c r="F10" s="204" t="s">
        <v>26</v>
      </c>
      <c r="G10" s="205" t="s">
        <v>92</v>
      </c>
      <c r="H10" s="22" t="str">
        <f>$E10</f>
        <v>Anzahl Kinder</v>
      </c>
      <c r="I10" s="23" t="str">
        <f>$F10</f>
        <v>qualifizierte Betreuungsperson</v>
      </c>
      <c r="J10" s="61" t="str">
        <f>$G10</f>
        <v>pädagogisch geeignete Person</v>
      </c>
      <c r="K10" s="22" t="str">
        <f>$E10</f>
        <v>Anzahl Kinder</v>
      </c>
      <c r="L10" s="23" t="str">
        <f>$F10</f>
        <v>qualifizierte Betreuungsperson</v>
      </c>
      <c r="M10" s="61" t="str">
        <f>$G10</f>
        <v>pädagogisch geeignete Person</v>
      </c>
      <c r="N10" s="22" t="str">
        <f>$E10</f>
        <v>Anzahl Kinder</v>
      </c>
      <c r="O10" s="23" t="str">
        <f>$F10</f>
        <v>qualifizierte Betreuungsperson</v>
      </c>
      <c r="P10" s="61" t="str">
        <f>$G10</f>
        <v>pädagogisch geeignete Person</v>
      </c>
      <c r="Q10" s="22" t="str">
        <f>$E10</f>
        <v>Anzahl Kinder</v>
      </c>
      <c r="R10" s="23" t="str">
        <f>$F10</f>
        <v>qualifizierte Betreuungsperson</v>
      </c>
      <c r="S10" s="61" t="str">
        <f>$G10</f>
        <v>pädagogisch geeignete Person</v>
      </c>
      <c r="T10" s="177" t="s">
        <v>128</v>
      </c>
    </row>
    <row r="11" spans="1:21" s="21" customFormat="1" ht="19.5" customHeight="1">
      <c r="A11" s="17" t="str">
        <f>Einsatzplan_Vorlage!A11</f>
        <v>Vormittag 1</v>
      </c>
      <c r="B11" s="18">
        <f>Einsatzplan_Vorlage!B11</f>
        <v>0.2916666666666667</v>
      </c>
      <c r="C11" s="18">
        <f>Einsatzplan_Vorlage!C11</f>
        <v>0.34027777777777773</v>
      </c>
      <c r="D11" s="20">
        <f aca="true" t="shared" si="0" ref="D11:D16">24*(C11-B11)</f>
        <v>1.1666666666666652</v>
      </c>
      <c r="E11" s="194">
        <f>Nachfrage!C21</f>
        <v>3</v>
      </c>
      <c r="F11" s="195"/>
      <c r="G11" s="196">
        <v>1</v>
      </c>
      <c r="H11" s="194">
        <f>Nachfrage!F21</f>
        <v>4</v>
      </c>
      <c r="I11" s="195"/>
      <c r="J11" s="196">
        <v>1</v>
      </c>
      <c r="K11" s="194">
        <f>Nachfrage!I21</f>
        <v>3</v>
      </c>
      <c r="L11" s="195"/>
      <c r="M11" s="196">
        <v>1</v>
      </c>
      <c r="N11" s="194">
        <f>Nachfrage!L21</f>
        <v>3</v>
      </c>
      <c r="O11" s="195"/>
      <c r="P11" s="196">
        <v>1</v>
      </c>
      <c r="Q11" s="194">
        <f>Nachfrage!O21</f>
        <v>4</v>
      </c>
      <c r="R11" s="195"/>
      <c r="S11" s="196">
        <v>1</v>
      </c>
      <c r="T11" s="192">
        <f>Einsatzplan_Vorlage!T11</f>
        <v>0.1</v>
      </c>
      <c r="U11" s="2"/>
    </row>
    <row r="12" spans="1:20" s="21" customFormat="1" ht="19.5" customHeight="1">
      <c r="A12" s="17" t="str">
        <f>Einsatzplan_Vorlage!A12</f>
        <v>Blockzeiten Schule</v>
      </c>
      <c r="B12" s="18">
        <f>Einsatzplan_Vorlage!B12</f>
        <v>0.34027777777777773</v>
      </c>
      <c r="C12" s="18">
        <f>Einsatzplan_Vorlage!C12</f>
        <v>0.4166666666666667</v>
      </c>
      <c r="D12" s="20">
        <f t="shared" si="0"/>
        <v>1.8333333333333348</v>
      </c>
      <c r="E12" s="194"/>
      <c r="F12" s="195"/>
      <c r="G12" s="196"/>
      <c r="H12" s="194"/>
      <c r="I12" s="195"/>
      <c r="J12" s="196"/>
      <c r="K12" s="194"/>
      <c r="L12" s="195"/>
      <c r="M12" s="196"/>
      <c r="N12" s="194"/>
      <c r="O12" s="195"/>
      <c r="P12" s="196"/>
      <c r="Q12" s="194"/>
      <c r="R12" s="195"/>
      <c r="S12" s="196"/>
      <c r="T12" s="192">
        <f>Einsatzplan_Vorlage!T12</f>
        <v>0</v>
      </c>
    </row>
    <row r="13" spans="1:20" s="21" customFormat="1" ht="19.5" customHeight="1">
      <c r="A13" s="17" t="str">
        <f>Einsatzplan_Vorlage!A13</f>
        <v>Vormittag 2</v>
      </c>
      <c r="B13" s="18">
        <f>Einsatzplan_Vorlage!B13</f>
        <v>0.4166666666666667</v>
      </c>
      <c r="C13" s="18">
        <f>Einsatzplan_Vorlage!C13</f>
        <v>0.4791666666666667</v>
      </c>
      <c r="D13" s="20">
        <f t="shared" si="0"/>
        <v>1.5</v>
      </c>
      <c r="E13" s="194">
        <f>E11</f>
        <v>3</v>
      </c>
      <c r="F13" s="195">
        <v>1</v>
      </c>
      <c r="G13" s="196"/>
      <c r="H13" s="194">
        <f>H11</f>
        <v>4</v>
      </c>
      <c r="I13" s="195">
        <v>1</v>
      </c>
      <c r="J13" s="196"/>
      <c r="K13" s="194">
        <f>K11</f>
        <v>3</v>
      </c>
      <c r="L13" s="195">
        <v>1</v>
      </c>
      <c r="M13" s="196"/>
      <c r="N13" s="194">
        <f>N11</f>
        <v>3</v>
      </c>
      <c r="O13" s="195">
        <v>1</v>
      </c>
      <c r="P13" s="196"/>
      <c r="Q13" s="194">
        <f>Q11</f>
        <v>4</v>
      </c>
      <c r="R13" s="195">
        <v>1</v>
      </c>
      <c r="S13" s="196"/>
      <c r="T13" s="192">
        <f>Einsatzplan_Vorlage!T13</f>
        <v>0.18</v>
      </c>
    </row>
    <row r="14" spans="1:20" s="21" customFormat="1" ht="19.5" customHeight="1">
      <c r="A14" s="17" t="str">
        <f>Einsatzplan_Vorlage!A14</f>
        <v>Mittagstisch</v>
      </c>
      <c r="B14" s="18">
        <f>Einsatzplan_Vorlage!B14</f>
        <v>0.4791666666666667</v>
      </c>
      <c r="C14" s="18">
        <f>Einsatzplan_Vorlage!C14</f>
        <v>0.5625</v>
      </c>
      <c r="D14" s="20">
        <f t="shared" si="0"/>
        <v>1.9999999999999996</v>
      </c>
      <c r="E14" s="194">
        <f>Nachfrage!D21</f>
        <v>5</v>
      </c>
      <c r="F14" s="195">
        <v>1</v>
      </c>
      <c r="G14" s="196"/>
      <c r="H14" s="194">
        <f>Nachfrage!G21</f>
        <v>8</v>
      </c>
      <c r="I14" s="195">
        <v>1</v>
      </c>
      <c r="J14" s="196"/>
      <c r="K14" s="194">
        <f>Nachfrage!J21</f>
        <v>6</v>
      </c>
      <c r="L14" s="195">
        <v>1</v>
      </c>
      <c r="M14" s="196"/>
      <c r="N14" s="194">
        <f>Nachfrage!M21</f>
        <v>6</v>
      </c>
      <c r="O14" s="195">
        <v>1</v>
      </c>
      <c r="P14" s="196"/>
      <c r="Q14" s="194">
        <f>Nachfrage!P21</f>
        <v>7</v>
      </c>
      <c r="R14" s="195">
        <v>1</v>
      </c>
      <c r="S14" s="196"/>
      <c r="T14" s="192">
        <f>Einsatzplan_Vorlage!T14</f>
        <v>0.32</v>
      </c>
    </row>
    <row r="15" spans="1:21" s="21" customFormat="1" ht="19.5" customHeight="1">
      <c r="A15" s="17" t="str">
        <f>Einsatzplan_Vorlage!A15</f>
        <v>Nachmittag 1</v>
      </c>
      <c r="B15" s="18">
        <f>Einsatzplan_Vorlage!B15</f>
        <v>0.5625</v>
      </c>
      <c r="C15" s="18">
        <f>Einsatzplan_Vorlage!C15</f>
        <v>0.6666666666666666</v>
      </c>
      <c r="D15" s="20">
        <f t="shared" si="0"/>
        <v>2.499999999999999</v>
      </c>
      <c r="E15" s="197">
        <f>Nachfrage!E21</f>
        <v>3</v>
      </c>
      <c r="F15" s="198">
        <v>1</v>
      </c>
      <c r="G15" s="199"/>
      <c r="H15" s="197">
        <f>Nachfrage!H21</f>
        <v>6</v>
      </c>
      <c r="I15" s="198">
        <v>1</v>
      </c>
      <c r="J15" s="199"/>
      <c r="K15" s="197">
        <f>Nachfrage!K21</f>
        <v>4</v>
      </c>
      <c r="L15" s="198">
        <v>1</v>
      </c>
      <c r="M15" s="199"/>
      <c r="N15" s="197">
        <f>Nachfrage!N21</f>
        <v>3</v>
      </c>
      <c r="O15" s="198">
        <v>1</v>
      </c>
      <c r="P15" s="199"/>
      <c r="Q15" s="197">
        <f>Nachfrage!Q21</f>
        <v>3</v>
      </c>
      <c r="R15" s="198">
        <v>1</v>
      </c>
      <c r="S15" s="199"/>
      <c r="T15" s="192">
        <f>Einsatzplan_Vorlage!T15</f>
        <v>0.22</v>
      </c>
      <c r="U15" s="128"/>
    </row>
    <row r="16" spans="1:21" s="21" customFormat="1" ht="19.5" customHeight="1" thickBot="1">
      <c r="A16" s="189" t="str">
        <f>Einsatzplan_Vorlage!A16</f>
        <v>Nachmittag 2</v>
      </c>
      <c r="B16" s="190">
        <f>Einsatzplan_Vorlage!B16</f>
        <v>0.6666666666666666</v>
      </c>
      <c r="C16" s="190">
        <f>Einsatzplan_Vorlage!C16</f>
        <v>0.75</v>
      </c>
      <c r="D16" s="191">
        <f t="shared" si="0"/>
        <v>2.000000000000001</v>
      </c>
      <c r="E16" s="197">
        <f>E15</f>
        <v>3</v>
      </c>
      <c r="F16" s="198">
        <v>1</v>
      </c>
      <c r="G16" s="199"/>
      <c r="H16" s="197">
        <f>H15</f>
        <v>6</v>
      </c>
      <c r="I16" s="198">
        <v>1</v>
      </c>
      <c r="J16" s="199"/>
      <c r="K16" s="197">
        <f>K15</f>
        <v>4</v>
      </c>
      <c r="L16" s="198">
        <v>1</v>
      </c>
      <c r="M16" s="199"/>
      <c r="N16" s="197">
        <f>N15</f>
        <v>3</v>
      </c>
      <c r="O16" s="198">
        <v>1</v>
      </c>
      <c r="P16" s="199"/>
      <c r="Q16" s="197">
        <f>Q15</f>
        <v>3</v>
      </c>
      <c r="R16" s="198">
        <v>1</v>
      </c>
      <c r="S16" s="199"/>
      <c r="T16" s="193">
        <f>Einsatzplan_Vorlage!T16</f>
        <v>0.18</v>
      </c>
      <c r="U16" s="128"/>
    </row>
    <row r="17" spans="1:21" ht="12.75" thickTop="1">
      <c r="A17" s="55"/>
      <c r="B17" s="56"/>
      <c r="C17" s="57"/>
      <c r="D17" s="58"/>
      <c r="E17" s="62"/>
      <c r="F17" s="63"/>
      <c r="G17" s="64"/>
      <c r="H17" s="62"/>
      <c r="I17" s="63"/>
      <c r="J17" s="64"/>
      <c r="K17" s="62"/>
      <c r="L17" s="63"/>
      <c r="M17" s="64"/>
      <c r="N17" s="62"/>
      <c r="O17" s="63"/>
      <c r="P17" s="64"/>
      <c r="Q17" s="62"/>
      <c r="R17" s="63"/>
      <c r="S17" s="64"/>
      <c r="T17" s="60" t="s">
        <v>91</v>
      </c>
      <c r="U17" s="129"/>
    </row>
    <row r="18" spans="1:21" ht="12">
      <c r="A18" s="32" t="s">
        <v>139</v>
      </c>
      <c r="B18" s="33"/>
      <c r="C18" s="8"/>
      <c r="D18" s="59"/>
      <c r="E18" s="44"/>
      <c r="F18" s="45">
        <f>F11*$D11+F12*$D12+F13*$D13+F14*$D14+F15*$D15+F16*$D16</f>
        <v>7.999999999999999</v>
      </c>
      <c r="G18" s="46"/>
      <c r="H18" s="44"/>
      <c r="I18" s="45">
        <f>I11*$D11+I12*$D12+I13*$D13+I14*$D14+I15*$D15+I16*$D16</f>
        <v>7.999999999999999</v>
      </c>
      <c r="J18" s="46"/>
      <c r="K18" s="44"/>
      <c r="L18" s="45">
        <f>L11*$D11+L12*$D12+L13*$D13+L14*$D14+L15*$D15+L16*$D16</f>
        <v>7.999999999999999</v>
      </c>
      <c r="M18" s="46"/>
      <c r="N18" s="44"/>
      <c r="O18" s="45">
        <f>O11*$D11+O12*$D12+O13*$D13+O14*$D14+O15*$D15+O16*$D16</f>
        <v>7.999999999999999</v>
      </c>
      <c r="P18" s="46"/>
      <c r="Q18" s="44"/>
      <c r="R18" s="45">
        <f>R11*$D11+R12*$D12+R13*$D13+R14*$D14+R15*$D15+R16*$D16</f>
        <v>7.999999999999999</v>
      </c>
      <c r="S18" s="46"/>
      <c r="T18" s="50">
        <f>SUM(F18:R18)</f>
        <v>39.99999999999999</v>
      </c>
      <c r="U18" s="129"/>
    </row>
    <row r="19" spans="1:21" ht="12">
      <c r="A19" s="32" t="s">
        <v>71</v>
      </c>
      <c r="B19" s="33"/>
      <c r="C19" s="8"/>
      <c r="D19" s="34"/>
      <c r="E19" s="44"/>
      <c r="F19" s="45"/>
      <c r="G19" s="46">
        <f>G11*$D11+G12*$D12+G13*$D13+G14*$D14+G15*$D15+G16*$D16</f>
        <v>1.1666666666666652</v>
      </c>
      <c r="H19" s="44"/>
      <c r="I19" s="45"/>
      <c r="J19" s="46">
        <f>J11*$D11+J12*$D12+J13*$D13+J14*$D14+J15*$D15+J16*$D16</f>
        <v>1.1666666666666652</v>
      </c>
      <c r="K19" s="44"/>
      <c r="L19" s="45"/>
      <c r="M19" s="46">
        <f>M11*$D11+M12*$D12+M13*$D13+M14*$D14+M15*$D15+M16*$D16</f>
        <v>1.1666666666666652</v>
      </c>
      <c r="N19" s="44"/>
      <c r="O19" s="45"/>
      <c r="P19" s="46">
        <f>P11*$D11+P12*$D12+P13*$D13+P14*$D14+P15*$D15+P16*$D16</f>
        <v>1.1666666666666652</v>
      </c>
      <c r="Q19" s="44"/>
      <c r="R19" s="45"/>
      <c r="S19" s="46">
        <f>S11*$D11+S12*$D12+S13*$D13+S14*$D14+S15*$D15+S16*$D16</f>
        <v>1.1666666666666652</v>
      </c>
      <c r="T19" s="50">
        <f>SUM(G19:S19)</f>
        <v>5.833333333333326</v>
      </c>
      <c r="U19" s="129"/>
    </row>
    <row r="20" spans="1:21" ht="12">
      <c r="A20" s="32" t="s">
        <v>16</v>
      </c>
      <c r="B20" s="33"/>
      <c r="C20" s="8"/>
      <c r="D20" s="34"/>
      <c r="E20" s="201">
        <f>E11*$T11+E12*$T12+E13*$T13+E14*$T14+E15*$T15+E16*$T16</f>
        <v>3.6400000000000006</v>
      </c>
      <c r="F20" s="45"/>
      <c r="G20" s="46"/>
      <c r="H20" s="201">
        <f>H11*$T11+H12*$T12+H13*$T13+H14*$T14+H15*$T15+H16*$T16</f>
        <v>6.08</v>
      </c>
      <c r="I20" s="45"/>
      <c r="J20" s="46"/>
      <c r="K20" s="201">
        <f>K11*$T11+K12*$T12+K13*$T13+K14*$T14+K15*$T15+K16*$T16</f>
        <v>4.359999999999999</v>
      </c>
      <c r="L20" s="45"/>
      <c r="M20" s="46"/>
      <c r="N20" s="201">
        <f>N11*$T11+N12*$T12+N13*$T13+N14*$T14+N15*$T15+N16*$T16</f>
        <v>3.96</v>
      </c>
      <c r="O20" s="45"/>
      <c r="P20" s="46"/>
      <c r="Q20" s="201">
        <f>Q11*$T11+Q12*$T12+Q13*$T13+Q14*$T14+Q15*$T15+Q16*$T16</f>
        <v>4.5600000000000005</v>
      </c>
      <c r="R20" s="45"/>
      <c r="S20" s="46"/>
      <c r="T20" s="50">
        <f>SUM(E20:Q20)/5</f>
        <v>4.5200000000000005</v>
      </c>
      <c r="U20" s="129"/>
    </row>
    <row r="21" spans="1:20" ht="12">
      <c r="A21" s="37" t="s">
        <v>157</v>
      </c>
      <c r="B21" s="38"/>
      <c r="C21" s="39"/>
      <c r="D21" s="40"/>
      <c r="E21" s="47">
        <f>E14</f>
        <v>5</v>
      </c>
      <c r="F21" s="48"/>
      <c r="G21" s="49"/>
      <c r="H21" s="47">
        <f>H14</f>
        <v>8</v>
      </c>
      <c r="I21" s="48"/>
      <c r="J21" s="49"/>
      <c r="K21" s="47">
        <f>K14</f>
        <v>6</v>
      </c>
      <c r="L21" s="48"/>
      <c r="M21" s="49"/>
      <c r="N21" s="47">
        <f>N14</f>
        <v>6</v>
      </c>
      <c r="O21" s="48"/>
      <c r="P21" s="49"/>
      <c r="Q21" s="47">
        <f>Q14</f>
        <v>7</v>
      </c>
      <c r="R21" s="48"/>
      <c r="S21" s="49"/>
      <c r="T21" s="200">
        <f>SUM(E21:Q21)</f>
        <v>32</v>
      </c>
    </row>
    <row r="22" spans="3:4" ht="12">
      <c r="C22" s="14"/>
      <c r="D22" s="14"/>
    </row>
    <row r="23" spans="3:4" ht="12">
      <c r="C23" s="14"/>
      <c r="D23" s="14"/>
    </row>
    <row r="24" spans="3:4" ht="12">
      <c r="C24" s="14"/>
      <c r="D24" s="14"/>
    </row>
    <row r="25" spans="3:4" ht="12">
      <c r="C25" s="14"/>
      <c r="D25" s="14"/>
    </row>
    <row r="26" spans="3:4" ht="12">
      <c r="C26" s="14"/>
      <c r="D26" s="14"/>
    </row>
    <row r="27" spans="3:4" ht="12">
      <c r="C27" s="14"/>
      <c r="D27" s="14"/>
    </row>
    <row r="28" spans="3:5" ht="12">
      <c r="C28" s="14"/>
      <c r="D28" s="14"/>
      <c r="E28" s="15"/>
    </row>
    <row r="29" spans="3:4" ht="12">
      <c r="C29" s="14"/>
      <c r="D29" s="14"/>
    </row>
    <row r="30" spans="3:5" ht="12">
      <c r="C30" s="14"/>
      <c r="D30" s="14"/>
      <c r="E30" s="16"/>
    </row>
    <row r="31" spans="3:5" ht="12">
      <c r="C31" s="14"/>
      <c r="D31" s="14"/>
      <c r="E31" s="16"/>
    </row>
    <row r="32" spans="3:4" ht="12">
      <c r="C32" s="14"/>
      <c r="D32" s="14"/>
    </row>
    <row r="63" ht="12">
      <c r="A63"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7.xml><?xml version="1.0" encoding="utf-8"?>
<worksheet xmlns="http://schemas.openxmlformats.org/spreadsheetml/2006/main" xmlns:r="http://schemas.openxmlformats.org/officeDocument/2006/relationships">
  <dimension ref="A1:U63"/>
  <sheetViews>
    <sheetView workbookViewId="0" topLeftCell="A1">
      <selection activeCell="A1" sqref="A1"/>
    </sheetView>
  </sheetViews>
  <sheetFormatPr defaultColWidth="11.00390625" defaultRowHeight="12"/>
  <cols>
    <col min="1" max="1" width="16.375" style="2" customWidth="1"/>
    <col min="2" max="2" width="6.625" style="2" customWidth="1"/>
    <col min="3" max="3" width="8.50390625" style="2" bestFit="1" customWidth="1"/>
    <col min="4" max="4" width="4.625" style="2" bestFit="1" customWidth="1"/>
    <col min="5" max="19" width="4.375" style="2" customWidth="1"/>
    <col min="20" max="20" width="8.875" style="2" bestFit="1" customWidth="1"/>
    <col min="21" max="21" width="7.00390625" style="2" customWidth="1"/>
    <col min="22" max="16384" width="10.875" style="2" customWidth="1"/>
  </cols>
  <sheetData>
    <row r="1" spans="1:21" ht="12.75">
      <c r="A1" s="2" t="str">
        <f>Eckwerte!A1</f>
        <v>Budget freiwillige Tagesschule</v>
      </c>
      <c r="T1" s="13"/>
      <c r="U1" s="13"/>
    </row>
    <row r="2" ht="12.75"/>
    <row r="3" ht="15.75">
      <c r="A3" s="1"/>
    </row>
    <row r="4" spans="1:21" s="1" customFormat="1" ht="15">
      <c r="A4" s="1" t="s">
        <v>29</v>
      </c>
      <c r="H4" s="1" t="str">
        <f>CONCATENATE(Eckwerte!$B$7&amp;". Betriebsjahr")</f>
        <v>1. Betriebsjahr</v>
      </c>
      <c r="U4" s="3"/>
    </row>
    <row r="5" spans="1:21" ht="12">
      <c r="A5" s="2" t="s">
        <v>25</v>
      </c>
      <c r="C5" s="202">
        <v>10</v>
      </c>
      <c r="F5" s="2" t="s">
        <v>121</v>
      </c>
      <c r="P5" s="202">
        <v>1</v>
      </c>
      <c r="U5" s="3"/>
    </row>
    <row r="6" spans="1:21" ht="12">
      <c r="A6" s="2" t="s">
        <v>17</v>
      </c>
      <c r="C6" s="12">
        <f>T20</f>
        <v>2.888000000000001</v>
      </c>
      <c r="F6" s="2" t="s">
        <v>98</v>
      </c>
      <c r="P6" s="202">
        <v>1</v>
      </c>
      <c r="U6" s="3"/>
    </row>
    <row r="7" spans="1:21" ht="12">
      <c r="A7" s="2" t="s">
        <v>18</v>
      </c>
      <c r="C7" s="15">
        <f>C6/C5</f>
        <v>0.28880000000000006</v>
      </c>
      <c r="U7" s="3"/>
    </row>
    <row r="9" spans="1:20" ht="12">
      <c r="A9" s="4"/>
      <c r="B9" s="5"/>
      <c r="C9" s="5"/>
      <c r="D9" s="5"/>
      <c r="E9" s="4" t="s">
        <v>144</v>
      </c>
      <c r="F9" s="5"/>
      <c r="G9" s="6"/>
      <c r="H9" s="4" t="s">
        <v>145</v>
      </c>
      <c r="I9" s="5"/>
      <c r="J9" s="6"/>
      <c r="K9" s="4" t="s">
        <v>146</v>
      </c>
      <c r="L9" s="5"/>
      <c r="M9" s="6"/>
      <c r="N9" s="4" t="s">
        <v>147</v>
      </c>
      <c r="O9" s="5"/>
      <c r="P9" s="6"/>
      <c r="Q9" s="4" t="s">
        <v>148</v>
      </c>
      <c r="R9" s="5"/>
      <c r="S9" s="6"/>
      <c r="T9" s="108"/>
    </row>
    <row r="10" spans="1:20" ht="168">
      <c r="A10" s="7"/>
      <c r="B10" s="8" t="s">
        <v>155</v>
      </c>
      <c r="C10" s="9" t="s">
        <v>156</v>
      </c>
      <c r="D10" s="10" t="s">
        <v>154</v>
      </c>
      <c r="E10" s="203" t="s">
        <v>15</v>
      </c>
      <c r="F10" s="204" t="s">
        <v>26</v>
      </c>
      <c r="G10" s="205" t="s">
        <v>92</v>
      </c>
      <c r="H10" s="22" t="str">
        <f>$E10</f>
        <v>Anzahl Kinder</v>
      </c>
      <c r="I10" s="23" t="str">
        <f>$F10</f>
        <v>qualifizierte Betreuungsperson</v>
      </c>
      <c r="J10" s="61" t="str">
        <f>$G10</f>
        <v>pädagogisch geeignete Person</v>
      </c>
      <c r="K10" s="22" t="str">
        <f>$E10</f>
        <v>Anzahl Kinder</v>
      </c>
      <c r="L10" s="23" t="str">
        <f>$F10</f>
        <v>qualifizierte Betreuungsperson</v>
      </c>
      <c r="M10" s="61" t="str">
        <f>$G10</f>
        <v>pädagogisch geeignete Person</v>
      </c>
      <c r="N10" s="22" t="str">
        <f>$E10</f>
        <v>Anzahl Kinder</v>
      </c>
      <c r="O10" s="23" t="str">
        <f>$F10</f>
        <v>qualifizierte Betreuungsperson</v>
      </c>
      <c r="P10" s="61" t="str">
        <f>$G10</f>
        <v>pädagogisch geeignete Person</v>
      </c>
      <c r="Q10" s="22" t="str">
        <f>$E10</f>
        <v>Anzahl Kinder</v>
      </c>
      <c r="R10" s="23" t="str">
        <f>$F10</f>
        <v>qualifizierte Betreuungsperson</v>
      </c>
      <c r="S10" s="61" t="str">
        <f>$G10</f>
        <v>pädagogisch geeignete Person</v>
      </c>
      <c r="T10" s="177" t="s">
        <v>128</v>
      </c>
    </row>
    <row r="11" spans="1:21" s="21" customFormat="1" ht="19.5" customHeight="1">
      <c r="A11" s="17" t="str">
        <f>Einsatzplan_Vorlage!A11</f>
        <v>Vormittag 1</v>
      </c>
      <c r="B11" s="18">
        <f>Einsatzplan_Vorlage!B11</f>
        <v>0.2916666666666667</v>
      </c>
      <c r="C11" s="18">
        <f>Einsatzplan_Vorlage!C11</f>
        <v>0.34027777777777773</v>
      </c>
      <c r="D11" s="20">
        <f aca="true" t="shared" si="0" ref="D11:D16">24*(C11-B11)</f>
        <v>1.1666666666666652</v>
      </c>
      <c r="E11" s="194">
        <f>Nachfrage!C27</f>
        <v>2</v>
      </c>
      <c r="F11" s="195"/>
      <c r="G11" s="196">
        <v>1</v>
      </c>
      <c r="H11" s="194">
        <f>Nachfrage!F27</f>
        <v>3</v>
      </c>
      <c r="I11" s="195"/>
      <c r="J11" s="196">
        <v>1</v>
      </c>
      <c r="K11" s="194">
        <f>Nachfrage!I27</f>
        <v>2</v>
      </c>
      <c r="L11" s="195"/>
      <c r="M11" s="196">
        <v>1</v>
      </c>
      <c r="N11" s="194">
        <f>Nachfrage!L27</f>
        <v>2</v>
      </c>
      <c r="O11" s="195"/>
      <c r="P11" s="196">
        <v>1</v>
      </c>
      <c r="Q11" s="194">
        <f>Nachfrage!O27</f>
        <v>2</v>
      </c>
      <c r="R11" s="195"/>
      <c r="S11" s="196">
        <v>1</v>
      </c>
      <c r="T11" s="192">
        <f>Einsatzplan_Vorlage!T11</f>
        <v>0.1</v>
      </c>
      <c r="U11" s="2"/>
    </row>
    <row r="12" spans="1:20" s="21" customFormat="1" ht="19.5" customHeight="1">
      <c r="A12" s="17" t="str">
        <f>Einsatzplan_Vorlage!A12</f>
        <v>Blockzeiten Schule</v>
      </c>
      <c r="B12" s="18">
        <f>Einsatzplan_Vorlage!B12</f>
        <v>0.34027777777777773</v>
      </c>
      <c r="C12" s="18">
        <f>Einsatzplan_Vorlage!C12</f>
        <v>0.4166666666666667</v>
      </c>
      <c r="D12" s="20">
        <f t="shared" si="0"/>
        <v>1.8333333333333348</v>
      </c>
      <c r="E12" s="194"/>
      <c r="F12" s="195"/>
      <c r="G12" s="196"/>
      <c r="H12" s="194"/>
      <c r="I12" s="195"/>
      <c r="J12" s="196"/>
      <c r="K12" s="194"/>
      <c r="L12" s="195"/>
      <c r="M12" s="196"/>
      <c r="N12" s="194"/>
      <c r="O12" s="195"/>
      <c r="P12" s="196"/>
      <c r="Q12" s="194"/>
      <c r="R12" s="195"/>
      <c r="S12" s="196"/>
      <c r="T12" s="192">
        <f>Einsatzplan_Vorlage!T12</f>
        <v>0</v>
      </c>
    </row>
    <row r="13" spans="1:20" s="21" customFormat="1" ht="19.5" customHeight="1">
      <c r="A13" s="17" t="str">
        <f>Einsatzplan_Vorlage!A13</f>
        <v>Vormittag 2</v>
      </c>
      <c r="B13" s="18">
        <f>Einsatzplan_Vorlage!B13</f>
        <v>0.4166666666666667</v>
      </c>
      <c r="C13" s="18">
        <f>Einsatzplan_Vorlage!C13</f>
        <v>0.4791666666666667</v>
      </c>
      <c r="D13" s="20">
        <f t="shared" si="0"/>
        <v>1.5</v>
      </c>
      <c r="E13" s="194">
        <f>E11</f>
        <v>2</v>
      </c>
      <c r="F13" s="195">
        <v>1</v>
      </c>
      <c r="G13" s="196"/>
      <c r="H13" s="194">
        <f>H11</f>
        <v>3</v>
      </c>
      <c r="I13" s="195">
        <v>1</v>
      </c>
      <c r="J13" s="196"/>
      <c r="K13" s="194">
        <f>K11</f>
        <v>2</v>
      </c>
      <c r="L13" s="195">
        <v>1</v>
      </c>
      <c r="M13" s="196"/>
      <c r="N13" s="194">
        <f>N11</f>
        <v>2</v>
      </c>
      <c r="O13" s="195">
        <v>1</v>
      </c>
      <c r="P13" s="196"/>
      <c r="Q13" s="194">
        <f>Q11</f>
        <v>2</v>
      </c>
      <c r="R13" s="195">
        <v>1</v>
      </c>
      <c r="S13" s="196"/>
      <c r="T13" s="192">
        <f>Einsatzplan_Vorlage!T13</f>
        <v>0.18</v>
      </c>
    </row>
    <row r="14" spans="1:20" s="21" customFormat="1" ht="19.5" customHeight="1">
      <c r="A14" s="17" t="str">
        <f>Einsatzplan_Vorlage!A14</f>
        <v>Mittagstisch</v>
      </c>
      <c r="B14" s="18">
        <f>Einsatzplan_Vorlage!B14</f>
        <v>0.4791666666666667</v>
      </c>
      <c r="C14" s="18">
        <f>Einsatzplan_Vorlage!C14</f>
        <v>0.5625</v>
      </c>
      <c r="D14" s="20">
        <f t="shared" si="0"/>
        <v>1.9999999999999996</v>
      </c>
      <c r="E14" s="194">
        <f>Nachfrage!D27</f>
        <v>3</v>
      </c>
      <c r="F14" s="195">
        <v>1</v>
      </c>
      <c r="G14" s="196"/>
      <c r="H14" s="194">
        <f>Nachfrage!G27</f>
        <v>5</v>
      </c>
      <c r="I14" s="195">
        <v>1</v>
      </c>
      <c r="J14" s="196"/>
      <c r="K14" s="194">
        <f>Nachfrage!J27</f>
        <v>3</v>
      </c>
      <c r="L14" s="195">
        <v>1</v>
      </c>
      <c r="M14" s="196"/>
      <c r="N14" s="194">
        <f>Nachfrage!M27</f>
        <v>3</v>
      </c>
      <c r="O14" s="195">
        <v>1</v>
      </c>
      <c r="P14" s="196"/>
      <c r="Q14" s="194">
        <f>Nachfrage!P27</f>
        <v>4</v>
      </c>
      <c r="R14" s="195">
        <v>1</v>
      </c>
      <c r="S14" s="196"/>
      <c r="T14" s="192">
        <f>Einsatzplan_Vorlage!T14</f>
        <v>0.32</v>
      </c>
    </row>
    <row r="15" spans="1:21" s="21" customFormat="1" ht="19.5" customHeight="1">
      <c r="A15" s="17" t="str">
        <f>Einsatzplan_Vorlage!A15</f>
        <v>Nachmittag 1</v>
      </c>
      <c r="B15" s="18">
        <f>Einsatzplan_Vorlage!B15</f>
        <v>0.5625</v>
      </c>
      <c r="C15" s="18">
        <f>Einsatzplan_Vorlage!C15</f>
        <v>0.6666666666666666</v>
      </c>
      <c r="D15" s="20">
        <f t="shared" si="0"/>
        <v>2.499999999999999</v>
      </c>
      <c r="E15" s="197">
        <f>Nachfrage!E27</f>
        <v>3</v>
      </c>
      <c r="F15" s="198">
        <v>1</v>
      </c>
      <c r="G15" s="199"/>
      <c r="H15" s="197">
        <f>Nachfrage!H27</f>
        <v>3</v>
      </c>
      <c r="I15" s="198">
        <v>1</v>
      </c>
      <c r="J15" s="199"/>
      <c r="K15" s="197">
        <f>Nachfrage!K27</f>
        <v>3</v>
      </c>
      <c r="L15" s="198">
        <v>1</v>
      </c>
      <c r="M15" s="199"/>
      <c r="N15" s="197">
        <f>Nachfrage!N27</f>
        <v>3</v>
      </c>
      <c r="O15" s="198">
        <v>1</v>
      </c>
      <c r="P15" s="199"/>
      <c r="Q15" s="197">
        <f>Nachfrage!Q27</f>
        <v>2</v>
      </c>
      <c r="R15" s="198">
        <v>1</v>
      </c>
      <c r="S15" s="199"/>
      <c r="T15" s="192">
        <f>Einsatzplan_Vorlage!T15</f>
        <v>0.22</v>
      </c>
      <c r="U15" s="128"/>
    </row>
    <row r="16" spans="1:21" s="21" customFormat="1" ht="19.5" customHeight="1" thickBot="1">
      <c r="A16" s="189" t="str">
        <f>Einsatzplan_Vorlage!A16</f>
        <v>Nachmittag 2</v>
      </c>
      <c r="B16" s="190">
        <f>Einsatzplan_Vorlage!B16</f>
        <v>0.6666666666666666</v>
      </c>
      <c r="C16" s="190">
        <f>Einsatzplan_Vorlage!C16</f>
        <v>0.75</v>
      </c>
      <c r="D16" s="191">
        <f t="shared" si="0"/>
        <v>2.000000000000001</v>
      </c>
      <c r="E16" s="197">
        <f>E15</f>
        <v>3</v>
      </c>
      <c r="F16" s="198">
        <v>1</v>
      </c>
      <c r="G16" s="199"/>
      <c r="H16" s="197">
        <f>H15</f>
        <v>3</v>
      </c>
      <c r="I16" s="198">
        <v>1</v>
      </c>
      <c r="J16" s="199"/>
      <c r="K16" s="197">
        <f>K15</f>
        <v>3</v>
      </c>
      <c r="L16" s="198">
        <v>1</v>
      </c>
      <c r="M16" s="199"/>
      <c r="N16" s="197">
        <f>N15</f>
        <v>3</v>
      </c>
      <c r="O16" s="198">
        <v>1</v>
      </c>
      <c r="P16" s="199"/>
      <c r="Q16" s="197">
        <f>Q15</f>
        <v>2</v>
      </c>
      <c r="R16" s="198">
        <v>1</v>
      </c>
      <c r="S16" s="199"/>
      <c r="T16" s="193">
        <f>Einsatzplan_Vorlage!T16</f>
        <v>0.18</v>
      </c>
      <c r="U16" s="128"/>
    </row>
    <row r="17" spans="1:21" ht="12.75" thickTop="1">
      <c r="A17" s="55"/>
      <c r="B17" s="56"/>
      <c r="C17" s="57"/>
      <c r="D17" s="58"/>
      <c r="E17" s="62"/>
      <c r="F17" s="63"/>
      <c r="G17" s="64"/>
      <c r="H17" s="62"/>
      <c r="I17" s="63"/>
      <c r="J17" s="64"/>
      <c r="K17" s="62"/>
      <c r="L17" s="63"/>
      <c r="M17" s="64"/>
      <c r="N17" s="62"/>
      <c r="O17" s="63"/>
      <c r="P17" s="64"/>
      <c r="Q17" s="62"/>
      <c r="R17" s="63"/>
      <c r="S17" s="64"/>
      <c r="T17" s="60" t="s">
        <v>91</v>
      </c>
      <c r="U17" s="129"/>
    </row>
    <row r="18" spans="1:21" ht="12">
      <c r="A18" s="32" t="s">
        <v>139</v>
      </c>
      <c r="B18" s="33"/>
      <c r="C18" s="8"/>
      <c r="D18" s="59"/>
      <c r="E18" s="44"/>
      <c r="F18" s="45">
        <f>F11*$D11+F12*$D12+F13*$D13+F14*$D14+F15*$D15+F16*$D16</f>
        <v>7.999999999999999</v>
      </c>
      <c r="G18" s="46"/>
      <c r="H18" s="44"/>
      <c r="I18" s="45">
        <f>I11*$D11+I12*$D12+I13*$D13+I14*$D14+I15*$D15+I16*$D16</f>
        <v>7.999999999999999</v>
      </c>
      <c r="J18" s="46"/>
      <c r="K18" s="44"/>
      <c r="L18" s="45">
        <f>L11*$D11+L12*$D12+L13*$D13+L14*$D14+L15*$D15+L16*$D16</f>
        <v>7.999999999999999</v>
      </c>
      <c r="M18" s="46"/>
      <c r="N18" s="44"/>
      <c r="O18" s="45">
        <f>O11*$D11+O12*$D12+O13*$D13+O14*$D14+O15*$D15+O16*$D16</f>
        <v>7.999999999999999</v>
      </c>
      <c r="P18" s="46"/>
      <c r="Q18" s="44"/>
      <c r="R18" s="45">
        <f>R11*$D11+R12*$D12+R13*$D13+R14*$D14+R15*$D15+R16*$D16</f>
        <v>7.999999999999999</v>
      </c>
      <c r="S18" s="46"/>
      <c r="T18" s="50">
        <f>SUM(F18:R18)</f>
        <v>39.99999999999999</v>
      </c>
      <c r="U18" s="129"/>
    </row>
    <row r="19" spans="1:21" ht="12">
      <c r="A19" s="32" t="s">
        <v>71</v>
      </c>
      <c r="B19" s="33"/>
      <c r="C19" s="8"/>
      <c r="D19" s="34"/>
      <c r="E19" s="44"/>
      <c r="F19" s="45"/>
      <c r="G19" s="46">
        <f>G11*$D11+G12*$D12+G13*$D13+G14*$D14+G15*$D15+G16*$D16</f>
        <v>1.1666666666666652</v>
      </c>
      <c r="H19" s="44"/>
      <c r="I19" s="45"/>
      <c r="J19" s="46">
        <f>J11*$D11+J12*$D12+J13*$D13+J14*$D14+J15*$D15+J16*$D16</f>
        <v>1.1666666666666652</v>
      </c>
      <c r="K19" s="44"/>
      <c r="L19" s="45"/>
      <c r="M19" s="46">
        <f>M11*$D11+M12*$D12+M13*$D13+M14*$D14+M15*$D15+M16*$D16</f>
        <v>1.1666666666666652</v>
      </c>
      <c r="N19" s="44"/>
      <c r="O19" s="45"/>
      <c r="P19" s="46">
        <f>P11*$D11+P12*$D12+P13*$D13+P14*$D14+P15*$D15+P16*$D16</f>
        <v>1.1666666666666652</v>
      </c>
      <c r="Q19" s="44"/>
      <c r="R19" s="45"/>
      <c r="S19" s="46">
        <f>S11*$D11+S12*$D12+S13*$D13+S14*$D14+S15*$D15+S16*$D16</f>
        <v>1.1666666666666652</v>
      </c>
      <c r="T19" s="50">
        <f>SUM(G19:S19)</f>
        <v>5.833333333333326</v>
      </c>
      <c r="U19" s="129"/>
    </row>
    <row r="20" spans="1:21" ht="12">
      <c r="A20" s="32" t="s">
        <v>16</v>
      </c>
      <c r="B20" s="33"/>
      <c r="C20" s="8"/>
      <c r="D20" s="34"/>
      <c r="E20" s="201">
        <f>E11*$T11+E12*$T12+E13*$T13+E14*$T14+E15*$T15+E16*$T16</f>
        <v>2.72</v>
      </c>
      <c r="F20" s="45"/>
      <c r="G20" s="46"/>
      <c r="H20" s="201">
        <f>H11*$T11+H12*$T12+H13*$T13+H14*$T14+H15*$T15+H16*$T16</f>
        <v>3.6400000000000006</v>
      </c>
      <c r="I20" s="45"/>
      <c r="J20" s="46"/>
      <c r="K20" s="201">
        <f>K11*$T11+K12*$T12+K13*$T13+K14*$T14+K15*$T15+K16*$T16</f>
        <v>2.72</v>
      </c>
      <c r="L20" s="45"/>
      <c r="M20" s="46"/>
      <c r="N20" s="201">
        <f>N11*$T11+N12*$T12+N13*$T13+N14*$T14+N15*$T15+N16*$T16</f>
        <v>2.72</v>
      </c>
      <c r="O20" s="45"/>
      <c r="P20" s="46"/>
      <c r="Q20" s="201">
        <f>Q11*$T11+Q12*$T12+Q13*$T13+Q14*$T14+Q15*$T15+Q16*$T16</f>
        <v>2.64</v>
      </c>
      <c r="R20" s="45"/>
      <c r="S20" s="46"/>
      <c r="T20" s="50">
        <f>SUM(E20:Q20)/5</f>
        <v>2.888000000000001</v>
      </c>
      <c r="U20" s="129"/>
    </row>
    <row r="21" spans="1:20" ht="12">
      <c r="A21" s="37" t="s">
        <v>157</v>
      </c>
      <c r="B21" s="38"/>
      <c r="C21" s="39"/>
      <c r="D21" s="40"/>
      <c r="E21" s="47">
        <f>E14</f>
        <v>3</v>
      </c>
      <c r="F21" s="48"/>
      <c r="G21" s="49"/>
      <c r="H21" s="47">
        <f>H14</f>
        <v>5</v>
      </c>
      <c r="I21" s="48"/>
      <c r="J21" s="49"/>
      <c r="K21" s="47">
        <f>K14</f>
        <v>3</v>
      </c>
      <c r="L21" s="48"/>
      <c r="M21" s="49"/>
      <c r="N21" s="47">
        <f>N14</f>
        <v>3</v>
      </c>
      <c r="O21" s="48"/>
      <c r="P21" s="49"/>
      <c r="Q21" s="47">
        <f>Q14</f>
        <v>4</v>
      </c>
      <c r="R21" s="48"/>
      <c r="S21" s="49"/>
      <c r="T21" s="200">
        <f>SUM(E21:Q21)</f>
        <v>18</v>
      </c>
    </row>
    <row r="22" spans="3:4" ht="12">
      <c r="C22" s="14"/>
      <c r="D22" s="14"/>
    </row>
    <row r="23" spans="3:4" ht="12">
      <c r="C23" s="14"/>
      <c r="D23" s="14"/>
    </row>
    <row r="24" spans="3:4" ht="12">
      <c r="C24" s="14"/>
      <c r="D24" s="14"/>
    </row>
    <row r="25" spans="3:4" ht="12">
      <c r="C25" s="14"/>
      <c r="D25" s="14"/>
    </row>
    <row r="26" spans="3:4" ht="12">
      <c r="C26" s="14"/>
      <c r="D26" s="14"/>
    </row>
    <row r="27" spans="3:4" ht="12">
      <c r="C27" s="14"/>
      <c r="D27" s="14"/>
    </row>
    <row r="28" spans="3:5" ht="12">
      <c r="C28" s="14"/>
      <c r="D28" s="14"/>
      <c r="E28" s="15"/>
    </row>
    <row r="29" spans="3:4" ht="12">
      <c r="C29" s="14"/>
      <c r="D29" s="14"/>
    </row>
    <row r="30" spans="3:5" ht="12">
      <c r="C30" s="14"/>
      <c r="D30" s="14"/>
      <c r="E30" s="16"/>
    </row>
    <row r="31" spans="3:5" ht="12">
      <c r="C31" s="14"/>
      <c r="D31" s="14"/>
      <c r="E31" s="16"/>
    </row>
    <row r="32" spans="3:4" ht="12">
      <c r="C32" s="14"/>
      <c r="D32" s="14"/>
    </row>
    <row r="63" ht="12">
      <c r="A63"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8.xml><?xml version="1.0" encoding="utf-8"?>
<worksheet xmlns="http://schemas.openxmlformats.org/spreadsheetml/2006/main" xmlns:r="http://schemas.openxmlformats.org/officeDocument/2006/relationships">
  <dimension ref="A1:U64"/>
  <sheetViews>
    <sheetView workbookViewId="0" topLeftCell="A1">
      <selection activeCell="T10" sqref="T10"/>
    </sheetView>
  </sheetViews>
  <sheetFormatPr defaultColWidth="11.00390625" defaultRowHeight="12"/>
  <cols>
    <col min="1" max="1" width="16.375" style="2" customWidth="1"/>
    <col min="2" max="2" width="7.375" style="2" customWidth="1"/>
    <col min="3" max="4" width="6.375" style="2" customWidth="1"/>
    <col min="5" max="19" width="4.375" style="2" customWidth="1"/>
    <col min="20" max="20" width="9.50390625" style="2" bestFit="1" customWidth="1"/>
    <col min="21" max="21" width="7.875" style="2" customWidth="1"/>
    <col min="22" max="16384" width="10.875" style="2" customWidth="1"/>
  </cols>
  <sheetData>
    <row r="1" spans="1:21" ht="12.75">
      <c r="A1" s="2" t="str">
        <f>Eckwerte!A1</f>
        <v>Budget freiwillige Tagesschule</v>
      </c>
      <c r="U1" s="13"/>
    </row>
    <row r="2" ht="12.75"/>
    <row r="3" ht="15.75">
      <c r="A3" s="1"/>
    </row>
    <row r="4" spans="1:2" s="3" customFormat="1" ht="15.75">
      <c r="A4" s="1" t="s">
        <v>73</v>
      </c>
      <c r="B4" s="1" t="str">
        <f>CONCATENATE(Eckwerte!$B$7&amp;". Betriebsjahr")</f>
        <v>1. Betriebsjahr</v>
      </c>
    </row>
    <row r="5" spans="1:16" s="3" customFormat="1" ht="12.75">
      <c r="A5" s="2" t="s">
        <v>25</v>
      </c>
      <c r="B5" s="2"/>
      <c r="C5" s="202">
        <v>20</v>
      </c>
      <c r="D5" s="2"/>
      <c r="E5" s="2"/>
      <c r="F5" s="2" t="s">
        <v>121</v>
      </c>
      <c r="G5" s="2"/>
      <c r="H5" s="2"/>
      <c r="I5" s="2"/>
      <c r="J5" s="2"/>
      <c r="K5" s="2"/>
      <c r="L5" s="2"/>
      <c r="M5" s="2"/>
      <c r="N5" s="2"/>
      <c r="P5" s="202">
        <v>2</v>
      </c>
    </row>
    <row r="6" spans="1:16" s="3" customFormat="1" ht="12.75">
      <c r="A6" s="2" t="s">
        <v>138</v>
      </c>
      <c r="B6" s="2"/>
      <c r="C6" s="12">
        <f>T19</f>
        <v>19.5</v>
      </c>
      <c r="D6" s="2"/>
      <c r="E6" s="2"/>
      <c r="F6" s="2" t="s">
        <v>98</v>
      </c>
      <c r="G6" s="2"/>
      <c r="H6" s="2"/>
      <c r="I6" s="2"/>
      <c r="J6" s="2"/>
      <c r="K6" s="2"/>
      <c r="L6" s="2"/>
      <c r="M6" s="2"/>
      <c r="N6" s="2"/>
      <c r="P6" s="202">
        <v>1</v>
      </c>
    </row>
    <row r="7" spans="1:15" s="3" customFormat="1" ht="12.75">
      <c r="A7" s="2" t="s">
        <v>23</v>
      </c>
      <c r="B7" s="2"/>
      <c r="C7" s="15">
        <f>C6/C5</f>
        <v>0.975</v>
      </c>
      <c r="D7" s="2"/>
      <c r="E7" s="2"/>
      <c r="F7" s="2"/>
      <c r="G7" s="2"/>
      <c r="H7" s="2"/>
      <c r="I7" s="2"/>
      <c r="J7" s="2"/>
      <c r="K7" s="2"/>
      <c r="L7" s="2"/>
      <c r="M7" s="2"/>
      <c r="N7" s="2"/>
      <c r="O7" s="2"/>
    </row>
    <row r="8" ht="12.75"/>
    <row r="9" spans="1:20" ht="12.75">
      <c r="A9" s="4"/>
      <c r="B9" s="5"/>
      <c r="C9" s="5"/>
      <c r="D9" s="6"/>
      <c r="E9" s="4" t="s">
        <v>144</v>
      </c>
      <c r="F9" s="5"/>
      <c r="G9" s="6"/>
      <c r="H9" s="4" t="s">
        <v>145</v>
      </c>
      <c r="I9" s="5"/>
      <c r="J9" s="6"/>
      <c r="K9" s="4" t="s">
        <v>146</v>
      </c>
      <c r="L9" s="5"/>
      <c r="M9" s="6"/>
      <c r="N9" s="4" t="s">
        <v>147</v>
      </c>
      <c r="O9" s="5"/>
      <c r="P9" s="6"/>
      <c r="Q9" s="4" t="s">
        <v>148</v>
      </c>
      <c r="R9" s="5"/>
      <c r="S9" s="6"/>
      <c r="T9" s="108"/>
    </row>
    <row r="10" spans="1:20" ht="186">
      <c r="A10" s="37"/>
      <c r="B10" s="38" t="s">
        <v>155</v>
      </c>
      <c r="C10" s="65" t="s">
        <v>156</v>
      </c>
      <c r="D10" s="66" t="s">
        <v>154</v>
      </c>
      <c r="E10" s="71" t="s">
        <v>15</v>
      </c>
      <c r="F10" s="72" t="s">
        <v>26</v>
      </c>
      <c r="G10" s="24" t="s">
        <v>92</v>
      </c>
      <c r="H10" s="71" t="str">
        <f>$E10</f>
        <v>Anzahl Kinder</v>
      </c>
      <c r="I10" s="72" t="str">
        <f>$F10</f>
        <v>qualifizierte Betreuungsperson</v>
      </c>
      <c r="J10" s="24" t="str">
        <f>$G10</f>
        <v>pädagogisch geeignete Person</v>
      </c>
      <c r="K10" s="71" t="str">
        <f>$E10</f>
        <v>Anzahl Kinder</v>
      </c>
      <c r="L10" s="72" t="str">
        <f>$F10</f>
        <v>qualifizierte Betreuungsperson</v>
      </c>
      <c r="M10" s="24" t="str">
        <f>$G10</f>
        <v>pädagogisch geeignete Person</v>
      </c>
      <c r="N10" s="71" t="str">
        <f>$E10</f>
        <v>Anzahl Kinder</v>
      </c>
      <c r="O10" s="72" t="str">
        <f>$F10</f>
        <v>qualifizierte Betreuungsperson</v>
      </c>
      <c r="P10" s="24" t="str">
        <f>$G10</f>
        <v>pädagogisch geeignete Person</v>
      </c>
      <c r="Q10" s="71" t="str">
        <f>$E10</f>
        <v>Anzahl Kinder</v>
      </c>
      <c r="R10" s="72" t="str">
        <f>$F10</f>
        <v>qualifizierte Betreuungsperson</v>
      </c>
      <c r="S10" s="24" t="str">
        <f>$G10</f>
        <v>pädagogisch geeignete Person</v>
      </c>
      <c r="T10" s="177" t="s">
        <v>128</v>
      </c>
    </row>
    <row r="11" spans="1:20" s="21" customFormat="1" ht="19.5" customHeight="1">
      <c r="A11" s="17" t="s">
        <v>57</v>
      </c>
      <c r="B11" s="19">
        <v>0.3333333333333333</v>
      </c>
      <c r="C11" s="19">
        <v>0.5</v>
      </c>
      <c r="D11" s="20">
        <f>24*(C11-B11)</f>
        <v>4</v>
      </c>
      <c r="E11" s="206">
        <f>Nachfrage!$P$38</f>
        <v>20</v>
      </c>
      <c r="F11" s="207">
        <v>1</v>
      </c>
      <c r="G11" s="208">
        <v>1</v>
      </c>
      <c r="H11" s="206">
        <f>Nachfrage!$P$38</f>
        <v>20</v>
      </c>
      <c r="I11" s="207">
        <v>1</v>
      </c>
      <c r="J11" s="208">
        <v>1</v>
      </c>
      <c r="K11" s="206">
        <f>Nachfrage!$P$38</f>
        <v>20</v>
      </c>
      <c r="L11" s="207">
        <v>1</v>
      </c>
      <c r="M11" s="208">
        <v>1</v>
      </c>
      <c r="N11" s="206">
        <f>Nachfrage!$P$38</f>
        <v>20</v>
      </c>
      <c r="O11" s="207">
        <v>1</v>
      </c>
      <c r="P11" s="208">
        <v>1</v>
      </c>
      <c r="Q11" s="206">
        <f>Nachfrage!$P$38</f>
        <v>20</v>
      </c>
      <c r="R11" s="207">
        <v>1</v>
      </c>
      <c r="S11" s="208">
        <v>1</v>
      </c>
      <c r="T11" s="192">
        <v>0.3</v>
      </c>
    </row>
    <row r="12" spans="1:20" s="21" customFormat="1" ht="19.5" customHeight="1">
      <c r="A12" s="17" t="s">
        <v>153</v>
      </c>
      <c r="B12" s="18">
        <f>C11</f>
        <v>0.5</v>
      </c>
      <c r="C12" s="19">
        <v>0.5625</v>
      </c>
      <c r="D12" s="20">
        <f>24*(C12-B12)</f>
        <v>1.5</v>
      </c>
      <c r="E12" s="206">
        <f>Nachfrage!$P$38</f>
        <v>20</v>
      </c>
      <c r="F12" s="198">
        <v>1</v>
      </c>
      <c r="G12" s="199">
        <v>1</v>
      </c>
      <c r="H12" s="206">
        <f>Nachfrage!$P$38</f>
        <v>20</v>
      </c>
      <c r="I12" s="198">
        <v>1</v>
      </c>
      <c r="J12" s="199">
        <v>1</v>
      </c>
      <c r="K12" s="206">
        <f>Nachfrage!$P$38</f>
        <v>20</v>
      </c>
      <c r="L12" s="198">
        <v>1</v>
      </c>
      <c r="M12" s="199">
        <v>1</v>
      </c>
      <c r="N12" s="206">
        <f>Nachfrage!$P$38</f>
        <v>20</v>
      </c>
      <c r="O12" s="198">
        <v>1</v>
      </c>
      <c r="P12" s="199">
        <v>1</v>
      </c>
      <c r="Q12" s="206">
        <f>Nachfrage!$P$38</f>
        <v>20</v>
      </c>
      <c r="R12" s="198">
        <v>1</v>
      </c>
      <c r="S12" s="199">
        <v>1</v>
      </c>
      <c r="T12" s="192">
        <v>0.3</v>
      </c>
    </row>
    <row r="13" spans="1:20" s="21" customFormat="1" ht="19.5" customHeight="1">
      <c r="A13" s="17" t="s">
        <v>75</v>
      </c>
      <c r="B13" s="18">
        <f>C12</f>
        <v>0.5625</v>
      </c>
      <c r="C13" s="19">
        <v>0.6666666666666666</v>
      </c>
      <c r="D13" s="20">
        <f>24*(C13-B13)</f>
        <v>2.499999999999999</v>
      </c>
      <c r="E13" s="206">
        <f>Nachfrage!$P$38</f>
        <v>20</v>
      </c>
      <c r="F13" s="195">
        <v>2</v>
      </c>
      <c r="G13" s="196"/>
      <c r="H13" s="206">
        <f>Nachfrage!$P$38</f>
        <v>20</v>
      </c>
      <c r="I13" s="195">
        <v>2</v>
      </c>
      <c r="J13" s="196"/>
      <c r="K13" s="206">
        <f>Nachfrage!$P$38</f>
        <v>20</v>
      </c>
      <c r="L13" s="195">
        <v>2</v>
      </c>
      <c r="M13" s="196"/>
      <c r="N13" s="206">
        <f>Nachfrage!$P$38</f>
        <v>20</v>
      </c>
      <c r="O13" s="195">
        <v>2</v>
      </c>
      <c r="P13" s="196"/>
      <c r="Q13" s="206">
        <f>Nachfrage!$P$38</f>
        <v>20</v>
      </c>
      <c r="R13" s="195">
        <v>2</v>
      </c>
      <c r="S13" s="196"/>
      <c r="T13" s="192">
        <v>0.3</v>
      </c>
    </row>
    <row r="14" spans="1:21" s="21" customFormat="1" ht="19.5" customHeight="1">
      <c r="A14" s="28" t="s">
        <v>58</v>
      </c>
      <c r="B14" s="29">
        <f>C13</f>
        <v>0.6666666666666666</v>
      </c>
      <c r="C14" s="30">
        <v>0.75</v>
      </c>
      <c r="D14" s="31">
        <f>24*(C14-B14)</f>
        <v>2.000000000000001</v>
      </c>
      <c r="E14" s="197">
        <f>0.75*E13</f>
        <v>15</v>
      </c>
      <c r="F14" s="198">
        <v>1</v>
      </c>
      <c r="G14" s="199"/>
      <c r="H14" s="197">
        <f>0.75*H13</f>
        <v>15</v>
      </c>
      <c r="I14" s="198">
        <v>1</v>
      </c>
      <c r="J14" s="199"/>
      <c r="K14" s="197">
        <f>0.75*K13</f>
        <v>15</v>
      </c>
      <c r="L14" s="198">
        <v>1</v>
      </c>
      <c r="M14" s="199"/>
      <c r="N14" s="197">
        <f>0.75*N13</f>
        <v>15</v>
      </c>
      <c r="O14" s="198">
        <v>1</v>
      </c>
      <c r="P14" s="199"/>
      <c r="Q14" s="197">
        <f>0.75*Q13</f>
        <v>15</v>
      </c>
      <c r="R14" s="198">
        <v>1</v>
      </c>
      <c r="S14" s="199"/>
      <c r="T14" s="209">
        <v>0.1</v>
      </c>
      <c r="U14" s="128"/>
    </row>
    <row r="15" spans="1:21" s="216" customFormat="1" ht="18" thickBot="1">
      <c r="A15" s="210"/>
      <c r="B15" s="211"/>
      <c r="C15" s="212"/>
      <c r="D15" s="213"/>
      <c r="E15" s="214"/>
      <c r="F15" s="214"/>
      <c r="G15" s="214"/>
      <c r="H15" s="214"/>
      <c r="I15" s="214"/>
      <c r="J15" s="214"/>
      <c r="K15" s="214"/>
      <c r="L15" s="214"/>
      <c r="M15" s="214"/>
      <c r="N15" s="214"/>
      <c r="O15" s="214"/>
      <c r="P15" s="214"/>
      <c r="Q15" s="214"/>
      <c r="R15" s="214"/>
      <c r="S15" s="217" t="s">
        <v>30</v>
      </c>
      <c r="T15" s="215">
        <f>SUM(T11:T14)</f>
        <v>0.9999999999999999</v>
      </c>
      <c r="U15" s="218">
        <f>IF(T15=1,"","Fehler: Summe muss 100 % sein!")</f>
      </c>
    </row>
    <row r="16" spans="1:21" ht="12.75" thickTop="1">
      <c r="A16" s="55"/>
      <c r="B16" s="56"/>
      <c r="C16" s="57"/>
      <c r="D16" s="69"/>
      <c r="E16" s="62"/>
      <c r="F16" s="63"/>
      <c r="G16" s="64"/>
      <c r="H16" s="62"/>
      <c r="I16" s="63"/>
      <c r="J16" s="64"/>
      <c r="K16" s="62"/>
      <c r="L16" s="63"/>
      <c r="M16" s="64"/>
      <c r="N16" s="62"/>
      <c r="O16" s="63"/>
      <c r="P16" s="64"/>
      <c r="Q16" s="62"/>
      <c r="R16" s="63"/>
      <c r="S16" s="64"/>
      <c r="T16" s="70" t="s">
        <v>91</v>
      </c>
      <c r="U16" s="129"/>
    </row>
    <row r="17" spans="1:21" ht="12">
      <c r="A17" s="32" t="s">
        <v>139</v>
      </c>
      <c r="B17" s="33"/>
      <c r="C17" s="8"/>
      <c r="D17" s="8"/>
      <c r="E17" s="44"/>
      <c r="F17" s="45">
        <f>F11*$D11+F12*$D12+F13*$D13+F14*$D14</f>
        <v>12.5</v>
      </c>
      <c r="G17" s="46"/>
      <c r="H17" s="44"/>
      <c r="I17" s="45">
        <f>I11*$D11+I12*$D12+I13*$D13+I14*$D14</f>
        <v>12.5</v>
      </c>
      <c r="J17" s="46"/>
      <c r="K17" s="44"/>
      <c r="L17" s="45">
        <f>L11*$D11+L12*$D12+L13*$D13+L14*$D14</f>
        <v>12.5</v>
      </c>
      <c r="M17" s="46"/>
      <c r="N17" s="44"/>
      <c r="O17" s="45">
        <f>O11*$D11+O12*$D12+O13*$D13+O14*$D14</f>
        <v>12.5</v>
      </c>
      <c r="P17" s="46"/>
      <c r="Q17" s="44"/>
      <c r="R17" s="45">
        <f>R11*$D11+R12*$D12+R13*$D13+R14*$D14</f>
        <v>12.5</v>
      </c>
      <c r="S17" s="46"/>
      <c r="T17" s="67">
        <f>SUM(F17:R17)</f>
        <v>62.5</v>
      </c>
      <c r="U17" s="129"/>
    </row>
    <row r="18" spans="1:21" ht="12">
      <c r="A18" s="32" t="s">
        <v>139</v>
      </c>
      <c r="B18" s="33"/>
      <c r="C18" s="8"/>
      <c r="D18" s="8"/>
      <c r="E18" s="44"/>
      <c r="F18" s="45"/>
      <c r="G18" s="46">
        <f>G11*$D11+G12*$D12+G13*$D13+G14*$D14</f>
        <v>5.5</v>
      </c>
      <c r="H18" s="44"/>
      <c r="I18" s="45"/>
      <c r="J18" s="46">
        <f>J11*$D11+J12*$D12+J13*$D13+J14*$D14</f>
        <v>5.5</v>
      </c>
      <c r="K18" s="44"/>
      <c r="L18" s="45"/>
      <c r="M18" s="46">
        <f>M11*$D11+M12*$D12+M13*$D13+M14*$D14</f>
        <v>5.5</v>
      </c>
      <c r="N18" s="44"/>
      <c r="O18" s="45"/>
      <c r="P18" s="46">
        <f>P11*$D11+P12*$D12+P13*$D13+P14*$D14</f>
        <v>5.5</v>
      </c>
      <c r="Q18" s="44"/>
      <c r="R18" s="45"/>
      <c r="S18" s="46">
        <f>S11*$D11+S12*$D12+S13*$D13+S14*$D14</f>
        <v>5.5</v>
      </c>
      <c r="T18" s="67">
        <f>SUM(G18:S18)</f>
        <v>27.5</v>
      </c>
      <c r="U18" s="129"/>
    </row>
    <row r="19" spans="1:21" ht="12">
      <c r="A19" s="7" t="s">
        <v>16</v>
      </c>
      <c r="B19" s="8"/>
      <c r="C19" s="35"/>
      <c r="D19" s="36"/>
      <c r="E19" s="44">
        <f>E11*$T11+E12*$T12+E13*$T13+E14*$T14</f>
        <v>19.5</v>
      </c>
      <c r="F19" s="45"/>
      <c r="G19" s="46"/>
      <c r="H19" s="44">
        <f>H11*$T11+H12*$T12+H13*$T13+H14*$T14</f>
        <v>19.5</v>
      </c>
      <c r="I19" s="45"/>
      <c r="J19" s="46"/>
      <c r="K19" s="44">
        <f>K11*$T11+K12*$T12+K13*$T13+K14*$T14</f>
        <v>19.5</v>
      </c>
      <c r="L19" s="45"/>
      <c r="M19" s="46"/>
      <c r="N19" s="44">
        <f>N11*$T11+N12*$T12+N13*$T13+N14*$T14</f>
        <v>19.5</v>
      </c>
      <c r="O19" s="45"/>
      <c r="P19" s="46"/>
      <c r="Q19" s="44">
        <f>Q11*$T11+Q12*$T12+Q13*$T13+Q14*$T14</f>
        <v>19.5</v>
      </c>
      <c r="R19" s="45"/>
      <c r="S19" s="46"/>
      <c r="T19" s="67">
        <f>AVERAGE(E19:Q19)</f>
        <v>19.5</v>
      </c>
      <c r="U19" s="129"/>
    </row>
    <row r="20" spans="1:21" ht="12">
      <c r="A20" s="37" t="s">
        <v>157</v>
      </c>
      <c r="B20" s="38"/>
      <c r="C20" s="39"/>
      <c r="D20" s="39"/>
      <c r="E20" s="47">
        <f>E12</f>
        <v>20</v>
      </c>
      <c r="F20" s="48"/>
      <c r="G20" s="49"/>
      <c r="H20" s="47">
        <f>H12</f>
        <v>20</v>
      </c>
      <c r="I20" s="48"/>
      <c r="J20" s="49"/>
      <c r="K20" s="47">
        <f>K12</f>
        <v>20</v>
      </c>
      <c r="L20" s="48"/>
      <c r="M20" s="49"/>
      <c r="N20" s="47">
        <f>N12</f>
        <v>20</v>
      </c>
      <c r="O20" s="48"/>
      <c r="P20" s="49"/>
      <c r="Q20" s="47">
        <f>Q12</f>
        <v>20</v>
      </c>
      <c r="R20" s="48"/>
      <c r="S20" s="49"/>
      <c r="T20" s="68">
        <f>SUM(E20:Q20)</f>
        <v>100</v>
      </c>
      <c r="U20" s="129"/>
    </row>
    <row r="21" spans="3:4" ht="12">
      <c r="C21" s="14"/>
      <c r="D21" s="14"/>
    </row>
    <row r="22" spans="3:4" ht="12">
      <c r="C22" s="14"/>
      <c r="D22" s="14"/>
    </row>
    <row r="23" spans="3:4" ht="12">
      <c r="C23" s="14"/>
      <c r="D23" s="14"/>
    </row>
    <row r="24" spans="3:4" ht="12">
      <c r="C24" s="14"/>
      <c r="D24" s="14"/>
    </row>
    <row r="25" spans="3:4" ht="12">
      <c r="C25" s="14"/>
      <c r="D25" s="14"/>
    </row>
    <row r="26" spans="3:4" ht="12">
      <c r="C26" s="14"/>
      <c r="D26" s="14"/>
    </row>
    <row r="27" spans="3:4" ht="12">
      <c r="C27" s="14"/>
      <c r="D27" s="14"/>
    </row>
    <row r="28" spans="3:5" ht="12">
      <c r="C28" s="14"/>
      <c r="D28" s="14"/>
      <c r="E28" s="15"/>
    </row>
    <row r="29" spans="3:4" ht="12">
      <c r="C29" s="14"/>
      <c r="D29" s="14"/>
    </row>
    <row r="30" spans="3:5" ht="12">
      <c r="C30" s="14"/>
      <c r="D30" s="14"/>
      <c r="E30" s="16"/>
    </row>
    <row r="31" spans="3:5" ht="12">
      <c r="C31" s="14"/>
      <c r="D31" s="14"/>
      <c r="E31" s="16"/>
    </row>
    <row r="32" spans="3:4" ht="12">
      <c r="C32" s="14"/>
      <c r="D32" s="14"/>
    </row>
    <row r="64" ht="12">
      <c r="A64" s="3"/>
    </row>
  </sheetData>
  <printOptions/>
  <pageMargins left="0.984251968503937" right="0.5905511811023623" top="0.7874015748031497" bottom="0.5905511811023623" header="0.5118110236220472" footer="0.5118110236220472"/>
  <pageSetup orientation="landscape" paperSize="9"/>
  <legacyDrawing r:id="rId2"/>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F37" sqref="F37"/>
    </sheetView>
  </sheetViews>
  <sheetFormatPr defaultColWidth="11.00390625" defaultRowHeight="12"/>
  <cols>
    <col min="1" max="1" width="45.125" style="2" customWidth="1"/>
    <col min="2" max="5" width="9.375" style="2" customWidth="1"/>
    <col min="6" max="6" width="9.875" style="2" customWidth="1"/>
    <col min="7" max="7" width="3.875" style="2" customWidth="1"/>
    <col min="8" max="8" width="33.125" style="2" customWidth="1"/>
    <col min="9" max="16384" width="10.875" style="2" customWidth="1"/>
  </cols>
  <sheetData>
    <row r="1" spans="1:8" ht="12.75">
      <c r="A1" s="2" t="str">
        <f>Eckwerte!A1</f>
        <v>Budget freiwillige Tagesschule</v>
      </c>
      <c r="H1" s="130"/>
    </row>
    <row r="2" ht="12.75"/>
    <row r="3" ht="15.75">
      <c r="A3" s="1"/>
    </row>
    <row r="4" spans="1:2" s="3" customFormat="1" ht="15.75">
      <c r="A4" s="1" t="s">
        <v>159</v>
      </c>
      <c r="B4" s="1" t="str">
        <f>CONCATENATE(Eckwerte!$B$7&amp;". Betriebsjahr")</f>
        <v>1. Betriebsjahr</v>
      </c>
    </row>
    <row r="5" s="3" customFormat="1" ht="3.75" customHeight="1">
      <c r="A5" s="1"/>
    </row>
    <row r="6" spans="1:7" ht="12.75">
      <c r="A6" s="114"/>
      <c r="B6" s="78" t="s">
        <v>95</v>
      </c>
      <c r="C6" s="78" t="s">
        <v>96</v>
      </c>
      <c r="D6" s="78" t="s">
        <v>68</v>
      </c>
      <c r="E6" s="78" t="s">
        <v>69</v>
      </c>
      <c r="F6" s="78" t="s">
        <v>142</v>
      </c>
      <c r="G6" s="124"/>
    </row>
    <row r="7" spans="1:6" ht="12.75">
      <c r="A7" s="84" t="s">
        <v>113</v>
      </c>
      <c r="B7" s="219">
        <f>Eckwerte!$B8</f>
        <v>40</v>
      </c>
      <c r="C7" s="219">
        <f>Eckwerte!$B8</f>
        <v>40</v>
      </c>
      <c r="D7" s="219">
        <f>Eckwerte!$B8</f>
        <v>40</v>
      </c>
      <c r="E7" s="219">
        <f>Eckwerte!$B8</f>
        <v>40</v>
      </c>
      <c r="F7" s="219">
        <f>Eckwerte!B9</f>
        <v>8</v>
      </c>
    </row>
    <row r="8" spans="1:6" ht="3.75" customHeight="1">
      <c r="A8" s="84"/>
      <c r="B8" s="109"/>
      <c r="C8" s="109"/>
      <c r="D8" s="109"/>
      <c r="E8" s="109"/>
      <c r="F8" s="109"/>
    </row>
    <row r="9" spans="1:6" ht="12.75">
      <c r="A9" s="143" t="s">
        <v>33</v>
      </c>
      <c r="B9" s="143"/>
      <c r="C9" s="108"/>
      <c r="D9" s="108"/>
      <c r="E9" s="108"/>
      <c r="F9" s="108"/>
    </row>
    <row r="10" spans="1:8" ht="12.75" customHeight="1">
      <c r="A10" s="110" t="s">
        <v>161</v>
      </c>
      <c r="B10" s="105">
        <f>Einsatzplan_Standort_A!T18</f>
        <v>39.99999999999999</v>
      </c>
      <c r="C10" s="142">
        <f>Einsatzplan_Standort_B!T18</f>
        <v>38.49999999999999</v>
      </c>
      <c r="D10" s="142">
        <f>Einsatzplan_Standort_C!T18</f>
        <v>39.99999999999999</v>
      </c>
      <c r="E10" s="142">
        <f>Einsatzplan_Standort_D!T18</f>
        <v>39.99999999999999</v>
      </c>
      <c r="F10" s="142">
        <f>Einsatzplan_Ferien!T17</f>
        <v>62.5</v>
      </c>
      <c r="G10" s="152"/>
      <c r="H10" s="101"/>
    </row>
    <row r="11" spans="1:7" ht="12.75" customHeight="1">
      <c r="A11" s="110" t="s">
        <v>27</v>
      </c>
      <c r="B11" s="77">
        <f>Einsatzplan_Standort_A!P5</f>
        <v>1</v>
      </c>
      <c r="C11" s="80">
        <f>Einsatzplan_Standort_B!P5</f>
        <v>1</v>
      </c>
      <c r="D11" s="80">
        <f>Einsatzplan_Standort_C!P5</f>
        <v>1</v>
      </c>
      <c r="E11" s="80">
        <f>Einsatzplan_Standort_D!P5</f>
        <v>1</v>
      </c>
      <c r="F11" s="80">
        <f>Einsatzplan_Ferien!P5</f>
        <v>2</v>
      </c>
      <c r="G11" s="152"/>
    </row>
    <row r="12" spans="1:7" ht="25.5">
      <c r="A12" s="111" t="s">
        <v>107</v>
      </c>
      <c r="B12" s="77">
        <f>B11*Eckwerte!$B18</f>
        <v>4</v>
      </c>
      <c r="C12" s="80">
        <f>C11*Eckwerte!$B18</f>
        <v>4</v>
      </c>
      <c r="D12" s="80">
        <f>D11*Eckwerte!$B18</f>
        <v>4</v>
      </c>
      <c r="E12" s="80">
        <f>E11*Eckwerte!$B18</f>
        <v>4</v>
      </c>
      <c r="F12" s="80">
        <f>F11*Eckwerte!$B18</f>
        <v>8</v>
      </c>
      <c r="G12" s="152"/>
    </row>
    <row r="13" spans="1:7" ht="12.75" customHeight="1">
      <c r="A13" s="110" t="s">
        <v>160</v>
      </c>
      <c r="B13" s="105">
        <f>B10+B12</f>
        <v>43.99999999999999</v>
      </c>
      <c r="C13" s="80">
        <f>C10+C12</f>
        <v>42.49999999999999</v>
      </c>
      <c r="D13" s="80">
        <f>D10+D12</f>
        <v>43.99999999999999</v>
      </c>
      <c r="E13" s="80">
        <f>E10+E12</f>
        <v>43.99999999999999</v>
      </c>
      <c r="F13" s="80">
        <f>F10+F12</f>
        <v>70.5</v>
      </c>
      <c r="G13" s="307"/>
    </row>
    <row r="14" spans="1:9" ht="12.75">
      <c r="A14" s="84" t="s">
        <v>60</v>
      </c>
      <c r="B14" s="80">
        <f>B13*B7</f>
        <v>1759.9999999999998</v>
      </c>
      <c r="C14" s="80">
        <f>C13*C7</f>
        <v>1699.9999999999998</v>
      </c>
      <c r="D14" s="80">
        <f>D13*D7</f>
        <v>1759.9999999999998</v>
      </c>
      <c r="E14" s="80">
        <f>E13*E7</f>
        <v>1759.9999999999998</v>
      </c>
      <c r="F14" s="80">
        <f>F13*F7</f>
        <v>564</v>
      </c>
      <c r="G14" s="308"/>
      <c r="I14" s="220"/>
    </row>
    <row r="15" spans="1:9" ht="12.75">
      <c r="A15" s="145" t="s">
        <v>108</v>
      </c>
      <c r="B15" s="146">
        <f>B14*Eckwerte!$B21</f>
        <v>19.799999999999997</v>
      </c>
      <c r="C15" s="147">
        <f>C14*Eckwerte!$B21</f>
        <v>19.124999999999996</v>
      </c>
      <c r="D15" s="147">
        <f>D14*Eckwerte!$B21</f>
        <v>19.799999999999997</v>
      </c>
      <c r="E15" s="147">
        <f>E14*Eckwerte!$B21</f>
        <v>19.799999999999997</v>
      </c>
      <c r="F15" s="147">
        <f>F14*Eckwerte!$B21</f>
        <v>6.345</v>
      </c>
      <c r="G15" s="129"/>
      <c r="I15" s="220"/>
    </row>
    <row r="16" spans="1:7" ht="12.75">
      <c r="A16" s="148" t="s">
        <v>65</v>
      </c>
      <c r="B16" s="149">
        <f>SUM(B14:B15)</f>
        <v>1779.7999999999997</v>
      </c>
      <c r="C16" s="150">
        <f>SUM(C14:C15)</f>
        <v>1719.1249999999998</v>
      </c>
      <c r="D16" s="150">
        <f>SUM(D14:D15)</f>
        <v>1779.7999999999997</v>
      </c>
      <c r="E16" s="150">
        <f>SUM(E14:E15)</f>
        <v>1779.7999999999997</v>
      </c>
      <c r="F16" s="150">
        <f>SUM(F14:F15)</f>
        <v>570.345</v>
      </c>
      <c r="G16" s="308"/>
    </row>
    <row r="17" spans="1:7" ht="12.75">
      <c r="A17" s="110" t="s">
        <v>42</v>
      </c>
      <c r="B17" s="80">
        <f>Eckwerte!$B$17</f>
        <v>1970</v>
      </c>
      <c r="C17" s="80">
        <f>Eckwerte!$B$17</f>
        <v>1970</v>
      </c>
      <c r="D17" s="80">
        <f>Eckwerte!$B$17</f>
        <v>1970</v>
      </c>
      <c r="E17" s="80">
        <f>Eckwerte!$B$17</f>
        <v>1970</v>
      </c>
      <c r="F17" s="80">
        <f>Eckwerte!$B$17</f>
        <v>1970</v>
      </c>
      <c r="G17" s="129"/>
    </row>
    <row r="18" spans="1:8" ht="12" customHeight="1">
      <c r="A18" s="84" t="s">
        <v>1</v>
      </c>
      <c r="B18" s="107">
        <f>B16/B17</f>
        <v>0.9034517766497461</v>
      </c>
      <c r="C18" s="117">
        <f>C16/C17</f>
        <v>0.8726522842639592</v>
      </c>
      <c r="D18" s="117">
        <f>D16/D17</f>
        <v>0.9034517766497461</v>
      </c>
      <c r="E18" s="117">
        <f>E16/E17</f>
        <v>0.9034517766497461</v>
      </c>
      <c r="F18" s="117">
        <f>F16/F17</f>
        <v>0.28951522842639593</v>
      </c>
      <c r="G18" s="309"/>
      <c r="H18" s="15"/>
    </row>
    <row r="19" spans="1:7" s="75" customFormat="1" ht="12" customHeight="1">
      <c r="A19" s="112" t="s">
        <v>162</v>
      </c>
      <c r="B19" s="118">
        <f>Eckwerte!$B12</f>
        <v>86808</v>
      </c>
      <c r="C19" s="118">
        <f>Eckwerte!$B12</f>
        <v>86808</v>
      </c>
      <c r="D19" s="118">
        <f>Eckwerte!$B12</f>
        <v>86808</v>
      </c>
      <c r="E19" s="118">
        <f>Eckwerte!$B12</f>
        <v>86808</v>
      </c>
      <c r="F19" s="118">
        <f>Eckwerte!$B12</f>
        <v>86808</v>
      </c>
      <c r="G19" s="131"/>
    </row>
    <row r="20" spans="1:7" ht="12.75">
      <c r="A20" s="108" t="s">
        <v>163</v>
      </c>
      <c r="B20" s="119">
        <f>ROUND(B18*B19,0)</f>
        <v>78427</v>
      </c>
      <c r="C20" s="119">
        <f>ROUND(C18*C19,0)</f>
        <v>75753</v>
      </c>
      <c r="D20" s="119">
        <f>ROUND(D18*D19,0)</f>
        <v>78427</v>
      </c>
      <c r="E20" s="119">
        <f>ROUND(E18*E19,0)</f>
        <v>78427</v>
      </c>
      <c r="F20" s="119">
        <f>ROUND(F18*F19,0)</f>
        <v>25132</v>
      </c>
      <c r="G20" s="310"/>
    </row>
    <row r="21" spans="1:7" ht="3.75" customHeight="1">
      <c r="A21" s="84"/>
      <c r="B21" s="86"/>
      <c r="C21" s="77"/>
      <c r="D21" s="80"/>
      <c r="E21" s="80"/>
      <c r="F21" s="106"/>
      <c r="G21" s="129"/>
    </row>
    <row r="22" spans="1:7" ht="12.75">
      <c r="A22" s="143" t="s">
        <v>20</v>
      </c>
      <c r="B22" s="143"/>
      <c r="C22" s="144"/>
      <c r="D22" s="144"/>
      <c r="E22" s="144"/>
      <c r="F22" s="144"/>
      <c r="G22" s="129"/>
    </row>
    <row r="23" spans="1:7" ht="12.75">
      <c r="A23" s="110" t="s">
        <v>161</v>
      </c>
      <c r="B23" s="142">
        <f>Einsatzplan_Standort_A!T19</f>
        <v>20.333333333333325</v>
      </c>
      <c r="C23" s="142">
        <f>Einsatzplan_Standort_B!T19</f>
        <v>4.666666666666661</v>
      </c>
      <c r="D23" s="142">
        <f>Einsatzplan_Standort_C!T19</f>
        <v>5.833333333333326</v>
      </c>
      <c r="E23" s="142">
        <f>Einsatzplan_Standort_D!T19</f>
        <v>5.833333333333326</v>
      </c>
      <c r="F23" s="142">
        <f>Einsatzplan_Ferien!T18</f>
        <v>27.5</v>
      </c>
      <c r="G23" s="129"/>
    </row>
    <row r="24" spans="1:7" ht="12.75">
      <c r="A24" s="110" t="s">
        <v>27</v>
      </c>
      <c r="B24" s="142">
        <f>Einsatzplan_Standort_A!P6</f>
        <v>2</v>
      </c>
      <c r="C24" s="142">
        <f>Einsatzplan_Standort_B!P6</f>
        <v>1</v>
      </c>
      <c r="D24" s="142">
        <f>Einsatzplan_Standort_C!P6</f>
        <v>1</v>
      </c>
      <c r="E24" s="142">
        <f>Einsatzplan_Standort_D!P6</f>
        <v>1</v>
      </c>
      <c r="F24" s="142">
        <f>Einsatzplan_Ferien!P6</f>
        <v>1</v>
      </c>
      <c r="G24" s="129"/>
    </row>
    <row r="25" spans="1:7" ht="12.75">
      <c r="A25" s="111" t="s">
        <v>109</v>
      </c>
      <c r="B25" s="142">
        <f>B24*Eckwerte!$B19</f>
        <v>1</v>
      </c>
      <c r="C25" s="142">
        <f>C24*Eckwerte!$B19</f>
        <v>0.5</v>
      </c>
      <c r="D25" s="142">
        <f>D24*Eckwerte!$B19</f>
        <v>0.5</v>
      </c>
      <c r="E25" s="142">
        <f>E24*Eckwerte!$B19</f>
        <v>0.5</v>
      </c>
      <c r="F25" s="142">
        <f>F24*Eckwerte!$B19</f>
        <v>0.5</v>
      </c>
      <c r="G25" s="129"/>
    </row>
    <row r="26" spans="1:7" ht="12.75">
      <c r="A26" s="110" t="str">
        <f>A13</f>
        <v>Wochenarbeitszeit inkl. Sitzungen (Stunden)</v>
      </c>
      <c r="B26" s="142">
        <f>B23+B25</f>
        <v>21.333333333333325</v>
      </c>
      <c r="C26" s="142">
        <f>C23+C25</f>
        <v>5.166666666666661</v>
      </c>
      <c r="D26" s="142">
        <f>D23+D25</f>
        <v>6.333333333333326</v>
      </c>
      <c r="E26" s="142">
        <f>E23+E25</f>
        <v>6.333333333333326</v>
      </c>
      <c r="F26" s="142">
        <f>F23+F25</f>
        <v>28</v>
      </c>
      <c r="G26" s="129"/>
    </row>
    <row r="27" spans="1:7" ht="12.75">
      <c r="A27" s="84" t="s">
        <v>60</v>
      </c>
      <c r="B27" s="80">
        <f>B26*B7</f>
        <v>853.333333333333</v>
      </c>
      <c r="C27" s="80">
        <f>C26*C7</f>
        <v>206.66666666666643</v>
      </c>
      <c r="D27" s="80">
        <f>D26*D7</f>
        <v>253.33333333333303</v>
      </c>
      <c r="E27" s="80">
        <f>E26*E7</f>
        <v>253.33333333333303</v>
      </c>
      <c r="F27" s="80">
        <f>F26*F7</f>
        <v>224</v>
      </c>
      <c r="G27" s="129"/>
    </row>
    <row r="28" spans="1:7" ht="12.75">
      <c r="A28" s="145" t="str">
        <f>A15</f>
        <v>Zusätzliche Betreuungsstunden an schulfreien Tagen</v>
      </c>
      <c r="B28" s="147">
        <f>B27*Eckwerte!$B21</f>
        <v>9.599999999999996</v>
      </c>
      <c r="C28" s="147">
        <f>C27*Eckwerte!$B21</f>
        <v>2.324999999999997</v>
      </c>
      <c r="D28" s="147">
        <f>D27*Eckwerte!$B21</f>
        <v>2.8499999999999965</v>
      </c>
      <c r="E28" s="147">
        <f>E27*Eckwerte!$B21</f>
        <v>2.8499999999999965</v>
      </c>
      <c r="F28" s="147">
        <f>F27*Eckwerte!$B21</f>
        <v>2.52</v>
      </c>
      <c r="G28" s="129"/>
    </row>
    <row r="29" spans="1:7" ht="12.75">
      <c r="A29" s="151" t="s">
        <v>65</v>
      </c>
      <c r="B29" s="150">
        <f>B27+B28</f>
        <v>862.933333333333</v>
      </c>
      <c r="C29" s="150">
        <f>C27+C28</f>
        <v>208.99166666666642</v>
      </c>
      <c r="D29" s="150">
        <f>D27+D28</f>
        <v>256.18333333333305</v>
      </c>
      <c r="E29" s="150">
        <f>E27+E28</f>
        <v>256.18333333333305</v>
      </c>
      <c r="F29" s="150">
        <f>F27+F28</f>
        <v>226.52</v>
      </c>
      <c r="G29" s="129"/>
    </row>
    <row r="30" spans="1:7" ht="12.75">
      <c r="A30" s="110" t="s">
        <v>42</v>
      </c>
      <c r="B30" s="77">
        <f>Eckwerte!$B17</f>
        <v>1970</v>
      </c>
      <c r="C30" s="80">
        <f>Eckwerte!$B17</f>
        <v>1970</v>
      </c>
      <c r="D30" s="80">
        <f>Eckwerte!$B17</f>
        <v>1970</v>
      </c>
      <c r="E30" s="80">
        <f>Eckwerte!$B17</f>
        <v>1970</v>
      </c>
      <c r="F30" s="80">
        <f>Eckwerte!$B17</f>
        <v>1970</v>
      </c>
      <c r="G30" s="129"/>
    </row>
    <row r="31" spans="1:7" ht="12.75">
      <c r="A31" s="110" t="s">
        <v>93</v>
      </c>
      <c r="B31" s="117">
        <f>B29/B30</f>
        <v>0.438037225042301</v>
      </c>
      <c r="C31" s="117">
        <f>C29/C30</f>
        <v>0.1060871404399322</v>
      </c>
      <c r="D31" s="117">
        <f>D29/D30</f>
        <v>0.13004230118443302</v>
      </c>
      <c r="E31" s="117">
        <f>E29/E30</f>
        <v>0.13004230118443302</v>
      </c>
      <c r="F31" s="117">
        <f>F29/F30</f>
        <v>0.11498477157360407</v>
      </c>
      <c r="G31" s="129"/>
    </row>
    <row r="32" spans="1:7" ht="12.75">
      <c r="A32" s="84" t="s">
        <v>162</v>
      </c>
      <c r="B32" s="120">
        <f>Eckwerte!$B13</f>
        <v>60000</v>
      </c>
      <c r="C32" s="120">
        <f>Eckwerte!$B13</f>
        <v>60000</v>
      </c>
      <c r="D32" s="120">
        <f>Eckwerte!$B13</f>
        <v>60000</v>
      </c>
      <c r="E32" s="120">
        <f>Eckwerte!$B13</f>
        <v>60000</v>
      </c>
      <c r="F32" s="120">
        <f>Eckwerte!$B13</f>
        <v>60000</v>
      </c>
      <c r="G32" s="129"/>
    </row>
    <row r="33" spans="1:7" ht="12.75">
      <c r="A33" s="108" t="s">
        <v>110</v>
      </c>
      <c r="B33" s="119">
        <f>B31*B32</f>
        <v>26282.23350253806</v>
      </c>
      <c r="C33" s="119">
        <f>C31*C32</f>
        <v>6365.228426395932</v>
      </c>
      <c r="D33" s="119">
        <f>D31*D32</f>
        <v>7802.538071065981</v>
      </c>
      <c r="E33" s="119">
        <f>E31*E32</f>
        <v>7802.538071065981</v>
      </c>
      <c r="F33" s="119">
        <f>F31*F32</f>
        <v>6899.086294416244</v>
      </c>
      <c r="G33" s="129"/>
    </row>
    <row r="34" spans="1:7" ht="3.75" customHeight="1">
      <c r="A34" s="84"/>
      <c r="B34" s="84"/>
      <c r="C34" s="80"/>
      <c r="D34" s="80"/>
      <c r="E34" s="80"/>
      <c r="F34" s="106"/>
      <c r="G34" s="129"/>
    </row>
    <row r="35" spans="1:7" ht="12.75">
      <c r="A35" s="109" t="s">
        <v>11</v>
      </c>
      <c r="B35" s="84"/>
      <c r="C35" s="80"/>
      <c r="D35" s="80"/>
      <c r="E35" s="80"/>
      <c r="F35" s="106"/>
      <c r="G35" s="129"/>
    </row>
    <row r="36" spans="1:7" ht="12.75">
      <c r="A36" s="143" t="s">
        <v>158</v>
      </c>
      <c r="B36" s="246">
        <f>Budget!B11</f>
        <v>4000</v>
      </c>
      <c r="C36" s="246">
        <f>Budget!C11</f>
        <v>2000</v>
      </c>
      <c r="D36" s="246">
        <f>Budget!D11</f>
        <v>2000</v>
      </c>
      <c r="E36" s="246">
        <f>Budget!E11</f>
        <v>2000</v>
      </c>
      <c r="F36" s="246">
        <f>Budget!F11</f>
        <v>800</v>
      </c>
      <c r="G36" s="129"/>
    </row>
    <row r="37" spans="1:8" ht="12.75">
      <c r="A37" s="84" t="s">
        <v>12</v>
      </c>
      <c r="B37" s="247">
        <f>ROUND(Eckwerte!$B$10/SUM($B36:$F36)*B36,2)</f>
        <v>0.22</v>
      </c>
      <c r="C37" s="247">
        <f>ROUND(Eckwerte!$B$10/SUM($B36:$F36)*C36,2)</f>
        <v>0.11</v>
      </c>
      <c r="D37" s="247">
        <f>ROUND(Eckwerte!$B$10/SUM($B36:$F36)*D36,2)</f>
        <v>0.11</v>
      </c>
      <c r="E37" s="247">
        <f>ROUND(Eckwerte!$B$10/SUM($B36:$F36)*E36,2)</f>
        <v>0.11</v>
      </c>
      <c r="F37" s="247">
        <f>ROUND(Eckwerte!$B$10/SUM($B36:$F36)*F36,2)</f>
        <v>0.04</v>
      </c>
      <c r="G37" s="129"/>
      <c r="H37" s="15"/>
    </row>
    <row r="38" spans="1:7" ht="12.75">
      <c r="A38" s="84" t="s">
        <v>21</v>
      </c>
      <c r="B38" s="86">
        <f>Eckwerte!$B$11</f>
        <v>100000</v>
      </c>
      <c r="C38" s="86">
        <f>Eckwerte!$B$11</f>
        <v>100000</v>
      </c>
      <c r="D38" s="86">
        <f>Eckwerte!$B$11</f>
        <v>100000</v>
      </c>
      <c r="E38" s="86">
        <f>Eckwerte!$B$11</f>
        <v>100000</v>
      </c>
      <c r="F38" s="86">
        <f>Eckwerte!$B$11</f>
        <v>100000</v>
      </c>
      <c r="G38" s="129"/>
    </row>
    <row r="39" spans="1:7" ht="12.75">
      <c r="A39" s="114" t="s">
        <v>19</v>
      </c>
      <c r="B39" s="311">
        <f>B37*B38</f>
        <v>22000</v>
      </c>
      <c r="C39" s="311">
        <f>C37*C38</f>
        <v>11000</v>
      </c>
      <c r="D39" s="311">
        <f>D37*D38</f>
        <v>11000</v>
      </c>
      <c r="E39" s="311">
        <f>E37*E38</f>
        <v>11000</v>
      </c>
      <c r="F39" s="311">
        <f>F37*F38</f>
        <v>4000</v>
      </c>
      <c r="G39" s="129"/>
    </row>
    <row r="40" ht="12.75"/>
    <row r="41" spans="1:6" ht="12">
      <c r="A41" s="166"/>
      <c r="B41" s="166"/>
      <c r="C41" s="166"/>
      <c r="D41" s="166"/>
      <c r="E41" s="166"/>
      <c r="F41" s="166"/>
    </row>
    <row r="57" ht="12">
      <c r="A57" s="3"/>
    </row>
  </sheetData>
  <printOptions/>
  <pageMargins left="0.984251968503937" right="0.5905511811023623" top="0.7874015748031497" bottom="0.5905511811023623" header="0.5118110236220472" footer="0.5118110236220472"/>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Verein Tagesschulen Schweiz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Mauchle</dc:creator>
  <cp:keywords/>
  <dc:description/>
  <cp:lastModifiedBy>Markus Mauchle</cp:lastModifiedBy>
  <cp:lastPrinted>2005-03-21T13:00:43Z</cp:lastPrinted>
  <dcterms:created xsi:type="dcterms:W3CDTF">2001-05-21T14:39:21Z</dcterms:created>
  <cp:category/>
  <cp:version/>
  <cp:contentType/>
  <cp:contentStatus/>
</cp:coreProperties>
</file>